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nottsgov-my.sharepoint.com/personal/gary_richards_nottscc_gov_uk/Documents/Documents/Team Manager/Centre Projects/Green Initiatives 2021/"/>
    </mc:Choice>
  </mc:AlternateContent>
  <xr:revisionPtr revIDLastSave="18" documentId="8_{C1458E7B-7C16-4DB1-9087-8EC6AAFF59D3}" xr6:coauthVersionLast="47" xr6:coauthVersionMax="47" xr10:uidLastSave="{15C16493-BCC6-499F-BAFB-F272FFCC2CE1}"/>
  <bookViews>
    <workbookView xWindow="-110" yWindow="-110" windowWidth="19420" windowHeight="10420" activeTab="4" xr2:uid="{73FA1713-376B-4B61-8C62-858C3F347358}"/>
  </bookViews>
  <sheets>
    <sheet name="Overview" sheetId="14" r:id="rId1"/>
    <sheet name="Scope guidance" sheetId="7" r:id="rId2"/>
    <sheet name="Scope 1" sheetId="18" r:id="rId3"/>
    <sheet name="Scope 2" sheetId="17" r:id="rId4"/>
    <sheet name="Scope 3" sheetId="16" r:id="rId5"/>
    <sheet name="Summary tables" sheetId="19" r:id="rId6"/>
    <sheet name="Summary charts" sheetId="20" r:id="rId7"/>
    <sheet name="Data Collection Tab - Overview" sheetId="21" r:id="rId8"/>
    <sheet name="Data Collection Tab - Emissions" sheetId="22" r:id="rId9"/>
    <sheet name="GHG Emission Factors" sheetId="1" r:id="rId10"/>
    <sheet name="List Tab" sheetId="6" state="hidden" r:id="rId11"/>
  </sheets>
  <definedNames>
    <definedName name="Assumptions">#REF!</definedName>
    <definedName name="Catering">#REF!</definedName>
    <definedName name="Data">#REF!</definedName>
    <definedName name="Data1">#REF!</definedName>
    <definedName name="Education__further_and_higher">#REF!</definedName>
    <definedName name="Education__schools">#REF!</definedName>
    <definedName name="Entertainment">#REF!</definedName>
    <definedName name="Hospitals">#REF!</definedName>
    <definedName name="Hotels">#REF!</definedName>
    <definedName name="Industrial_Buildings">#REF!</definedName>
    <definedName name="Local_Authority_Buildings">#REF!</definedName>
    <definedName name="Measures">#REF!</definedName>
    <definedName name="MoD_Buildings">#REF!</definedName>
    <definedName name="Offices">#REF!</definedName>
    <definedName name="Primary_Health_Care__GPs_and_Dental_Practices">#REF!</definedName>
    <definedName name="Public_Buildings">#REF!</definedName>
    <definedName name="Select_from_below">#REF!</definedName>
    <definedName name="Sports_and_Recrea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19" l="1"/>
  <c r="D16" i="19"/>
  <c r="C17" i="19"/>
  <c r="D17" i="19"/>
  <c r="C12" i="19"/>
  <c r="D12" i="19"/>
  <c r="D59" i="19"/>
  <c r="E58" i="19"/>
  <c r="D60" i="19"/>
  <c r="E59" i="19"/>
  <c r="D61" i="19"/>
  <c r="E60" i="19"/>
  <c r="D62" i="19"/>
  <c r="E61" i="19"/>
  <c r="D63" i="19"/>
  <c r="E62" i="19"/>
  <c r="D64" i="19"/>
  <c r="E63" i="19"/>
  <c r="D65" i="19"/>
  <c r="E64" i="19"/>
  <c r="D66" i="19"/>
  <c r="E65" i="19"/>
  <c r="C34" i="19"/>
  <c r="E33" i="19"/>
  <c r="E34" i="19"/>
  <c r="E35" i="19"/>
  <c r="D37" i="19"/>
  <c r="E36" i="19"/>
  <c r="D38" i="19"/>
  <c r="E37" i="19"/>
  <c r="D39" i="19"/>
  <c r="E38" i="19"/>
  <c r="D40" i="19"/>
  <c r="E39" i="19"/>
  <c r="D41" i="19"/>
  <c r="E40" i="19"/>
  <c r="E117" i="19"/>
  <c r="E118" i="19"/>
  <c r="E119" i="19"/>
  <c r="E120" i="19"/>
  <c r="D116" i="19"/>
  <c r="D117" i="19"/>
  <c r="D118" i="19"/>
  <c r="D119" i="19"/>
  <c r="D120" i="19"/>
  <c r="E66" i="16"/>
  <c r="E67" i="16"/>
  <c r="D109" i="19"/>
  <c r="D110" i="19"/>
  <c r="D111" i="19"/>
  <c r="D112" i="19"/>
  <c r="D113" i="19"/>
  <c r="D114" i="19"/>
  <c r="D115" i="19"/>
  <c r="D108" i="19"/>
  <c r="C108" i="19"/>
  <c r="E104" i="19"/>
  <c r="E105" i="19"/>
  <c r="E106" i="19"/>
  <c r="E107" i="19"/>
  <c r="D99" i="19"/>
  <c r="D100" i="19"/>
  <c r="D101" i="19"/>
  <c r="D102" i="19"/>
  <c r="D103" i="19"/>
  <c r="D104" i="19"/>
  <c r="D105" i="19"/>
  <c r="D106" i="19"/>
  <c r="D107" i="19"/>
  <c r="D98" i="19"/>
  <c r="C98" i="19"/>
  <c r="E41" i="19"/>
  <c r="G62" i="16"/>
  <c r="H62" i="16"/>
  <c r="E115" i="19" s="1"/>
  <c r="H63" i="16"/>
  <c r="E116" i="19" s="1"/>
  <c r="G63" i="16"/>
  <c r="E47" i="16"/>
  <c r="E48" i="16"/>
  <c r="G61" i="16"/>
  <c r="G60" i="16"/>
  <c r="G59" i="16"/>
  <c r="G58" i="16"/>
  <c r="G57" i="16"/>
  <c r="G56" i="16"/>
  <c r="G55" i="16"/>
  <c r="G46" i="16"/>
  <c r="G45" i="16"/>
  <c r="G44" i="16"/>
  <c r="G43" i="16"/>
  <c r="H43" i="16" s="1"/>
  <c r="E100" i="19" s="1"/>
  <c r="F18" i="18"/>
  <c r="E55" i="16"/>
  <c r="H55" i="16"/>
  <c r="E108" i="19" s="1"/>
  <c r="E56" i="16"/>
  <c r="H56" i="16"/>
  <c r="E109" i="19" s="1"/>
  <c r="E57" i="16"/>
  <c r="H57" i="16"/>
  <c r="E110" i="19" s="1"/>
  <c r="E58" i="16"/>
  <c r="H58" i="16"/>
  <c r="E111" i="19" s="1"/>
  <c r="E59" i="16"/>
  <c r="H59" i="16"/>
  <c r="E112" i="19" s="1"/>
  <c r="E60" i="16"/>
  <c r="H60" i="16"/>
  <c r="E113" i="19" s="1"/>
  <c r="E61" i="16"/>
  <c r="H61" i="16"/>
  <c r="E114" i="19" s="1"/>
  <c r="E62" i="16"/>
  <c r="E63" i="16"/>
  <c r="E64" i="16"/>
  <c r="E65" i="16"/>
  <c r="E41" i="16"/>
  <c r="G41" i="16"/>
  <c r="H41" i="16"/>
  <c r="E98" i="19" s="1"/>
  <c r="E42" i="16"/>
  <c r="G42" i="16"/>
  <c r="H42" i="16"/>
  <c r="E99" i="19" s="1"/>
  <c r="E43" i="16"/>
  <c r="E44" i="16"/>
  <c r="H44" i="16"/>
  <c r="E101" i="19" s="1"/>
  <c r="E45" i="16"/>
  <c r="H45" i="16"/>
  <c r="E102" i="19" s="1"/>
  <c r="E46" i="16"/>
  <c r="H46" i="16"/>
  <c r="E103" i="19" s="1"/>
  <c r="E49" i="16"/>
  <c r="E50" i="16"/>
  <c r="F36" i="16"/>
  <c r="F35" i="16"/>
  <c r="F30" i="16"/>
  <c r="F29" i="16"/>
  <c r="F28" i="16"/>
  <c r="F27" i="16"/>
  <c r="F26" i="16"/>
  <c r="F25" i="16"/>
  <c r="F24" i="16"/>
  <c r="F23" i="16"/>
  <c r="F22" i="16"/>
  <c r="F21" i="16"/>
  <c r="F20" i="16"/>
  <c r="F19" i="16"/>
  <c r="F18" i="16"/>
  <c r="F40" i="17"/>
  <c r="F39" i="17"/>
  <c r="G39" i="17" s="1"/>
  <c r="E81" i="19" s="1"/>
  <c r="F38" i="17"/>
  <c r="F37" i="17"/>
  <c r="F32" i="17"/>
  <c r="F31" i="17"/>
  <c r="F30" i="17"/>
  <c r="F29" i="17"/>
  <c r="F28" i="17"/>
  <c r="F27" i="17"/>
  <c r="F26" i="17"/>
  <c r="F25" i="17"/>
  <c r="F18" i="17"/>
  <c r="F47" i="18"/>
  <c r="F46" i="18"/>
  <c r="F45" i="18"/>
  <c r="F44" i="18"/>
  <c r="F43" i="18"/>
  <c r="F42" i="18"/>
  <c r="F41" i="18"/>
  <c r="F40" i="18"/>
  <c r="F39" i="18"/>
  <c r="F38" i="18"/>
  <c r="F37" i="18"/>
  <c r="F36" i="18"/>
  <c r="F35" i="18"/>
  <c r="F34" i="18"/>
  <c r="F33" i="18"/>
  <c r="F32" i="18"/>
  <c r="F31" i="18"/>
  <c r="F30" i="18"/>
  <c r="F29" i="18"/>
  <c r="F24" i="18"/>
  <c r="G24" i="18" s="1"/>
  <c r="F23" i="18"/>
  <c r="G23" i="18" s="1"/>
  <c r="E32" i="19" s="1"/>
  <c r="F22" i="18"/>
  <c r="F21" i="18"/>
  <c r="G21" i="18" s="1"/>
  <c r="E30" i="19" s="1"/>
  <c r="F20" i="18"/>
  <c r="F19" i="18"/>
  <c r="F17" i="18"/>
  <c r="G37" i="17"/>
  <c r="E79" i="19" s="1"/>
  <c r="G38" i="17"/>
  <c r="E80" i="19" s="1"/>
  <c r="G40" i="17"/>
  <c r="E82" i="19" s="1"/>
  <c r="D40" i="17"/>
  <c r="D37" i="17"/>
  <c r="D38" i="17"/>
  <c r="D39" i="17"/>
  <c r="D29" i="17"/>
  <c r="D30" i="17"/>
  <c r="D31" i="17"/>
  <c r="D32" i="17"/>
  <c r="G27" i="17"/>
  <c r="E73" i="19" s="1"/>
  <c r="G28" i="17"/>
  <c r="E74" i="19" s="1"/>
  <c r="G29" i="17"/>
  <c r="E75" i="19" s="1"/>
  <c r="G30" i="17"/>
  <c r="E76" i="19" s="1"/>
  <c r="G31" i="17"/>
  <c r="E77" i="19" s="1"/>
  <c r="G32" i="17"/>
  <c r="E78" i="19" s="1"/>
  <c r="G25" i="17"/>
  <c r="E71" i="19" s="1"/>
  <c r="G26" i="17"/>
  <c r="E72" i="19" s="1"/>
  <c r="D26" i="17"/>
  <c r="D27" i="17"/>
  <c r="D28" i="17"/>
  <c r="D25" i="17"/>
  <c r="D21" i="18"/>
  <c r="D24" i="18"/>
  <c r="D23" i="18"/>
  <c r="G22" i="18"/>
  <c r="E31" i="19" s="1"/>
  <c r="D22" i="18"/>
  <c r="C83" i="19"/>
  <c r="D19" i="19" l="1"/>
  <c r="F99" i="19" s="1"/>
  <c r="D20" i="19"/>
  <c r="F109" i="19" s="1"/>
  <c r="F114" i="19" l="1"/>
  <c r="F112" i="19"/>
  <c r="F113" i="19"/>
  <c r="F119" i="19"/>
  <c r="F120" i="19"/>
  <c r="F118" i="19"/>
  <c r="F117" i="19"/>
  <c r="F110" i="19"/>
  <c r="F98" i="19"/>
  <c r="F101" i="19"/>
  <c r="F104" i="19"/>
  <c r="F105" i="19"/>
  <c r="F106" i="19"/>
  <c r="F102" i="19"/>
  <c r="F107" i="19"/>
  <c r="F111" i="19"/>
  <c r="F100" i="19"/>
  <c r="F115" i="19"/>
  <c r="F116" i="19"/>
  <c r="F108" i="19"/>
  <c r="F103" i="19"/>
  <c r="H55" i="22"/>
  <c r="H54" i="22"/>
  <c r="H53" i="22"/>
  <c r="H52" i="22"/>
  <c r="H51" i="22"/>
  <c r="H50" i="22"/>
  <c r="H49" i="22"/>
  <c r="H48" i="22"/>
  <c r="H47" i="22"/>
  <c r="H46" i="22"/>
  <c r="H45" i="22"/>
  <c r="H44" i="22"/>
  <c r="H43" i="22"/>
  <c r="A43" i="22"/>
  <c r="B43" i="22"/>
  <c r="C43" i="22"/>
  <c r="A44" i="22"/>
  <c r="B44" i="22"/>
  <c r="C44" i="22"/>
  <c r="A45" i="22"/>
  <c r="B45" i="22"/>
  <c r="C45" i="22"/>
  <c r="A46" i="22"/>
  <c r="B46" i="22"/>
  <c r="C46" i="22"/>
  <c r="A47" i="22"/>
  <c r="B47" i="22"/>
  <c r="C47" i="22"/>
  <c r="A48" i="22"/>
  <c r="B48" i="22"/>
  <c r="C48" i="22"/>
  <c r="A49" i="22"/>
  <c r="B49" i="22"/>
  <c r="C49" i="22"/>
  <c r="A50" i="22"/>
  <c r="B50" i="22"/>
  <c r="C50" i="22"/>
  <c r="A51" i="22"/>
  <c r="B51" i="22"/>
  <c r="C51" i="22"/>
  <c r="A52" i="22"/>
  <c r="B52" i="22"/>
  <c r="C52" i="22"/>
  <c r="A53" i="22"/>
  <c r="B53" i="22"/>
  <c r="C53" i="22"/>
  <c r="A54" i="22"/>
  <c r="B54" i="22"/>
  <c r="C54" i="22"/>
  <c r="A55" i="22"/>
  <c r="B55" i="22"/>
  <c r="C55" i="22"/>
  <c r="D83" i="19" l="1"/>
  <c r="D84" i="19"/>
  <c r="D85" i="19"/>
  <c r="D86" i="19"/>
  <c r="D87" i="19"/>
  <c r="D88" i="19"/>
  <c r="D89" i="19"/>
  <c r="D90" i="19"/>
  <c r="D91" i="19"/>
  <c r="D92" i="19"/>
  <c r="D93" i="19"/>
  <c r="D94" i="19"/>
  <c r="D95" i="19"/>
  <c r="I55" i="22"/>
  <c r="I54" i="22"/>
  <c r="I53" i="22"/>
  <c r="I52" i="22"/>
  <c r="I51" i="22"/>
  <c r="I50" i="22"/>
  <c r="I49" i="22"/>
  <c r="I48" i="22"/>
  <c r="I47" i="22"/>
  <c r="I46" i="22"/>
  <c r="I45" i="22"/>
  <c r="I44" i="22"/>
  <c r="I43" i="22"/>
  <c r="D21" i="19" l="1"/>
  <c r="D30" i="16"/>
  <c r="D29" i="16"/>
  <c r="D28" i="16"/>
  <c r="D27" i="16"/>
  <c r="D26" i="16"/>
  <c r="D25" i="16"/>
  <c r="D24" i="16"/>
  <c r="D23" i="16"/>
  <c r="D22" i="16"/>
  <c r="D21" i="16"/>
  <c r="D20" i="16"/>
  <c r="D19" i="16"/>
  <c r="D18" i="16"/>
  <c r="G30" i="16"/>
  <c r="G29" i="16"/>
  <c r="G28" i="16"/>
  <c r="G27" i="16"/>
  <c r="G26" i="16"/>
  <c r="G25" i="16"/>
  <c r="G24" i="16"/>
  <c r="G23" i="16"/>
  <c r="G22" i="16"/>
  <c r="G21" i="16"/>
  <c r="G20" i="16"/>
  <c r="G19" i="16"/>
  <c r="G18" i="16"/>
  <c r="J43" i="22" l="1"/>
  <c r="E83" i="19"/>
  <c r="D15" i="19"/>
  <c r="J51" i="22"/>
  <c r="E91" i="19"/>
  <c r="J44" i="22"/>
  <c r="E84" i="19"/>
  <c r="J52" i="22"/>
  <c r="E92" i="19"/>
  <c r="J45" i="22"/>
  <c r="E85" i="19"/>
  <c r="J53" i="22"/>
  <c r="E93" i="19"/>
  <c r="J49" i="22"/>
  <c r="E89" i="19"/>
  <c r="J50" i="22"/>
  <c r="E90" i="19"/>
  <c r="J46" i="22"/>
  <c r="E86" i="19"/>
  <c r="J54" i="22"/>
  <c r="E94" i="19"/>
  <c r="J47" i="22"/>
  <c r="E87" i="19"/>
  <c r="J55" i="22"/>
  <c r="E95" i="19"/>
  <c r="J48" i="22"/>
  <c r="E88" i="19"/>
  <c r="F88" i="19" l="1"/>
  <c r="F86" i="19"/>
  <c r="F85" i="19"/>
  <c r="F87" i="19"/>
  <c r="F89" i="19"/>
  <c r="F84" i="19"/>
  <c r="F94" i="19"/>
  <c r="F83" i="19"/>
  <c r="F95" i="19"/>
  <c r="F93" i="19"/>
  <c r="F91" i="19"/>
  <c r="F90" i="19"/>
  <c r="F92" i="19"/>
  <c r="H2" i="22" l="1"/>
  <c r="I57" i="22"/>
  <c r="G36" i="16"/>
  <c r="J57" i="22" s="1"/>
  <c r="G35" i="16"/>
  <c r="J56" i="22" s="1"/>
  <c r="G18" i="17"/>
  <c r="I28" i="22"/>
  <c r="G30" i="18"/>
  <c r="I10" i="22"/>
  <c r="G31" i="18"/>
  <c r="G32" i="18"/>
  <c r="I12" i="22"/>
  <c r="G33" i="18"/>
  <c r="E46" i="19" s="1"/>
  <c r="I32" i="22"/>
  <c r="G34" i="18"/>
  <c r="I14" i="22"/>
  <c r="G35" i="18"/>
  <c r="I34" i="22"/>
  <c r="G36" i="18"/>
  <c r="I35" i="22"/>
  <c r="G37" i="18"/>
  <c r="I17" i="22"/>
  <c r="I18" i="22"/>
  <c r="G39" i="18"/>
  <c r="I19" i="22"/>
  <c r="G40" i="18"/>
  <c r="I20" i="22"/>
  <c r="G41" i="18"/>
  <c r="I21" i="22"/>
  <c r="G42" i="18"/>
  <c r="J21" i="22" s="1"/>
  <c r="I22" i="22"/>
  <c r="G43" i="18"/>
  <c r="J41" i="22" s="1"/>
  <c r="G29" i="18"/>
  <c r="I26" i="22"/>
  <c r="G47" i="18"/>
  <c r="I25" i="22"/>
  <c r="G46" i="18"/>
  <c r="J25" i="22" s="1"/>
  <c r="I24" i="22"/>
  <c r="G45" i="18"/>
  <c r="I23" i="22"/>
  <c r="G44" i="18"/>
  <c r="I4" i="22"/>
  <c r="G19" i="18"/>
  <c r="E28" i="19" s="1"/>
  <c r="I3" i="22"/>
  <c r="I42" i="22"/>
  <c r="I56" i="22"/>
  <c r="H28" i="22"/>
  <c r="H29" i="22"/>
  <c r="I29" i="22"/>
  <c r="H30" i="22"/>
  <c r="I30" i="22"/>
  <c r="H31" i="22"/>
  <c r="I31" i="22"/>
  <c r="H32" i="22"/>
  <c r="H33" i="22"/>
  <c r="H34" i="22"/>
  <c r="H35" i="22"/>
  <c r="H36" i="22"/>
  <c r="I36" i="22"/>
  <c r="H37" i="22"/>
  <c r="I37" i="22"/>
  <c r="H38" i="22"/>
  <c r="I38" i="22"/>
  <c r="H39" i="22"/>
  <c r="I39" i="22"/>
  <c r="H40" i="22"/>
  <c r="I40" i="22"/>
  <c r="H41" i="22"/>
  <c r="I41" i="22"/>
  <c r="I27" i="22"/>
  <c r="H27" i="22"/>
  <c r="H9" i="22"/>
  <c r="H10" i="22"/>
  <c r="H11" i="22"/>
  <c r="I11" i="22"/>
  <c r="H12" i="22"/>
  <c r="H13" i="22"/>
  <c r="I13" i="22"/>
  <c r="H14" i="22"/>
  <c r="H15" i="22"/>
  <c r="H16" i="22"/>
  <c r="I16" i="22"/>
  <c r="H17" i="22"/>
  <c r="H18" i="22"/>
  <c r="H19" i="22"/>
  <c r="H20" i="22"/>
  <c r="H21" i="22"/>
  <c r="H22" i="22"/>
  <c r="I8" i="22"/>
  <c r="H8" i="22"/>
  <c r="I5" i="22"/>
  <c r="I7" i="22"/>
  <c r="H7" i="22"/>
  <c r="I6" i="22"/>
  <c r="H6" i="22"/>
  <c r="H3" i="22"/>
  <c r="G20" i="18"/>
  <c r="E29" i="19" s="1"/>
  <c r="I2" i="22"/>
  <c r="H26" i="22"/>
  <c r="H25" i="22"/>
  <c r="H24" i="22"/>
  <c r="H23" i="22"/>
  <c r="H57" i="22"/>
  <c r="H56" i="22"/>
  <c r="H42" i="22"/>
  <c r="H5" i="22"/>
  <c r="H4" i="22"/>
  <c r="L2" i="21"/>
  <c r="K2" i="21"/>
  <c r="J2" i="21"/>
  <c r="I2" i="21"/>
  <c r="H2" i="21"/>
  <c r="G2" i="21"/>
  <c r="F2" i="21"/>
  <c r="E2" i="21"/>
  <c r="D2" i="21"/>
  <c r="C2" i="21"/>
  <c r="B2" i="21"/>
  <c r="A2" i="21"/>
  <c r="C3" i="22"/>
  <c r="C4" i="22"/>
  <c r="C5" i="22"/>
  <c r="C6" i="22"/>
  <c r="C7" i="22"/>
  <c r="C8" i="22"/>
  <c r="C9" i="22"/>
  <c r="C10" i="22"/>
  <c r="C11" i="22"/>
  <c r="C12" i="22"/>
  <c r="C13" i="22"/>
  <c r="C14" i="22"/>
  <c r="C15" i="22"/>
  <c r="C16" i="22"/>
  <c r="C17" i="22"/>
  <c r="C18" i="22"/>
  <c r="C19" i="22"/>
  <c r="C20" i="22"/>
  <c r="C21" i="22"/>
  <c r="C22" i="22"/>
  <c r="C23" i="22"/>
  <c r="C24" i="22"/>
  <c r="C25" i="22"/>
  <c r="C26" i="22"/>
  <c r="C27" i="22"/>
  <c r="C28" i="22"/>
  <c r="C29" i="22"/>
  <c r="C30" i="22"/>
  <c r="C31" i="22"/>
  <c r="C32" i="22"/>
  <c r="C33" i="22"/>
  <c r="C34" i="22"/>
  <c r="C35" i="22"/>
  <c r="C36" i="22"/>
  <c r="C37" i="22"/>
  <c r="C38" i="22"/>
  <c r="C39" i="22"/>
  <c r="C40" i="22"/>
  <c r="C41" i="22"/>
  <c r="C42" i="22"/>
  <c r="C56" i="22"/>
  <c r="C57" i="22"/>
  <c r="C2" i="22"/>
  <c r="B3" i="22"/>
  <c r="B4" i="22"/>
  <c r="B5" i="22"/>
  <c r="B6" i="22"/>
  <c r="B7" i="22"/>
  <c r="B8" i="22"/>
  <c r="B9" i="22"/>
  <c r="B10" i="22"/>
  <c r="B11" i="22"/>
  <c r="B12"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2" i="22"/>
  <c r="B56" i="22"/>
  <c r="B57" i="22"/>
  <c r="B2" i="22"/>
  <c r="A3" i="22"/>
  <c r="A4" i="22"/>
  <c r="A5" i="22"/>
  <c r="A6" i="22"/>
  <c r="A7" i="22"/>
  <c r="A8" i="22"/>
  <c r="A9" i="22"/>
  <c r="A10" i="22"/>
  <c r="A11" i="22"/>
  <c r="A12" i="22"/>
  <c r="A13" i="22"/>
  <c r="A14" i="22"/>
  <c r="A15" i="22"/>
  <c r="A16" i="22"/>
  <c r="A17" i="22"/>
  <c r="A18" i="22"/>
  <c r="A19" i="22"/>
  <c r="A20" i="22"/>
  <c r="A21" i="22"/>
  <c r="A22" i="22"/>
  <c r="A23" i="22"/>
  <c r="A24" i="22"/>
  <c r="A25" i="22"/>
  <c r="A26" i="22"/>
  <c r="A27" i="22"/>
  <c r="A28" i="22"/>
  <c r="A29" i="22"/>
  <c r="A30" i="22"/>
  <c r="A31" i="22"/>
  <c r="A32" i="22"/>
  <c r="A33" i="22"/>
  <c r="A34" i="22"/>
  <c r="A35" i="22"/>
  <c r="A36" i="22"/>
  <c r="A37" i="22"/>
  <c r="A38" i="22"/>
  <c r="A39" i="22"/>
  <c r="A40" i="22"/>
  <c r="A41" i="22"/>
  <c r="A42" i="22"/>
  <c r="A56" i="22"/>
  <c r="A57" i="22"/>
  <c r="A2" i="22"/>
  <c r="D68" i="19"/>
  <c r="D67" i="19"/>
  <c r="D58" i="19"/>
  <c r="D57" i="19"/>
  <c r="D56" i="19"/>
  <c r="D55" i="19"/>
  <c r="D54" i="19"/>
  <c r="D53" i="19"/>
  <c r="D52" i="19"/>
  <c r="D51" i="19"/>
  <c r="D50" i="19"/>
  <c r="D49" i="19"/>
  <c r="D48" i="19"/>
  <c r="D47" i="19"/>
  <c r="D46" i="19"/>
  <c r="D45" i="19"/>
  <c r="D44" i="19"/>
  <c r="D43" i="19"/>
  <c r="D39" i="18"/>
  <c r="D40" i="18"/>
  <c r="D41" i="18"/>
  <c r="D42" i="18"/>
  <c r="D43" i="18"/>
  <c r="D31" i="18"/>
  <c r="D46" i="18"/>
  <c r="D47" i="18"/>
  <c r="C97" i="19"/>
  <c r="C96" i="19"/>
  <c r="C70" i="19"/>
  <c r="C69" i="19"/>
  <c r="C42" i="19"/>
  <c r="C26" i="19"/>
  <c r="C18" i="19"/>
  <c r="C14" i="19"/>
  <c r="C13" i="19"/>
  <c r="C11" i="19"/>
  <c r="D97" i="19"/>
  <c r="D96" i="19"/>
  <c r="D70" i="19"/>
  <c r="D69" i="19"/>
  <c r="D42" i="19"/>
  <c r="D29" i="19"/>
  <c r="D28" i="19"/>
  <c r="D27" i="19"/>
  <c r="D26" i="19"/>
  <c r="D36" i="16"/>
  <c r="D35" i="16"/>
  <c r="D18" i="17"/>
  <c r="D17" i="18"/>
  <c r="D45" i="18"/>
  <c r="D44" i="18"/>
  <c r="D38" i="18"/>
  <c r="D37" i="18"/>
  <c r="D36" i="18"/>
  <c r="D35" i="18"/>
  <c r="D34" i="18"/>
  <c r="D33" i="18"/>
  <c r="D32" i="18"/>
  <c r="D30" i="18"/>
  <c r="D29" i="18"/>
  <c r="D20" i="18"/>
  <c r="D19" i="18"/>
  <c r="D18" i="18"/>
  <c r="D31" i="14"/>
  <c r="E66" i="19" l="1"/>
  <c r="E96" i="19"/>
  <c r="G38" i="18"/>
  <c r="E51" i="19" s="1"/>
  <c r="G18" i="18"/>
  <c r="E55" i="19"/>
  <c r="E44" i="19"/>
  <c r="J4" i="22"/>
  <c r="J29" i="22"/>
  <c r="J10" i="22"/>
  <c r="J7" i="22"/>
  <c r="D18" i="19"/>
  <c r="J42" i="22"/>
  <c r="J26" i="22"/>
  <c r="E67" i="19"/>
  <c r="J22" i="22"/>
  <c r="J23" i="22"/>
  <c r="J40" i="22"/>
  <c r="J16" i="22"/>
  <c r="E52" i="19"/>
  <c r="E54" i="19"/>
  <c r="J38" i="22"/>
  <c r="J18" i="22"/>
  <c r="J37" i="22"/>
  <c r="J33" i="22"/>
  <c r="J31" i="22"/>
  <c r="E49" i="19"/>
  <c r="J32" i="22"/>
  <c r="J28" i="22"/>
  <c r="J30" i="22"/>
  <c r="J5" i="22"/>
  <c r="J24" i="22"/>
  <c r="J12" i="22"/>
  <c r="I9" i="22"/>
  <c r="J20" i="22"/>
  <c r="J39" i="22"/>
  <c r="J15" i="22"/>
  <c r="E56" i="19"/>
  <c r="J35" i="22"/>
  <c r="E97" i="19"/>
  <c r="G17" i="18"/>
  <c r="E50" i="19"/>
  <c r="E47" i="19"/>
  <c r="I15" i="22"/>
  <c r="E48" i="19"/>
  <c r="I33" i="22"/>
  <c r="J14" i="22"/>
  <c r="J13" i="22"/>
  <c r="E43" i="19"/>
  <c r="J9" i="22"/>
  <c r="E68" i="19"/>
  <c r="J8" i="22"/>
  <c r="E42" i="19"/>
  <c r="E45" i="19"/>
  <c r="E53" i="19"/>
  <c r="J27" i="22"/>
  <c r="J34" i="22"/>
  <c r="J19" i="22"/>
  <c r="E69" i="19"/>
  <c r="G69" i="19" s="1"/>
  <c r="J11" i="22"/>
  <c r="E57" i="19"/>
  <c r="D11" i="19" l="1"/>
  <c r="F32" i="19" s="1"/>
  <c r="D14" i="19"/>
  <c r="J3" i="22"/>
  <c r="E27" i="19"/>
  <c r="F41" i="19"/>
  <c r="F39" i="19"/>
  <c r="F36" i="19"/>
  <c r="F37" i="19"/>
  <c r="F38" i="19"/>
  <c r="F35" i="19"/>
  <c r="F40" i="19"/>
  <c r="D13" i="19"/>
  <c r="J36" i="22"/>
  <c r="F96" i="19"/>
  <c r="E70" i="19"/>
  <c r="G70" i="19" s="1"/>
  <c r="J17" i="22"/>
  <c r="J6" i="22"/>
  <c r="F97" i="19"/>
  <c r="F34" i="19"/>
  <c r="E26" i="19"/>
  <c r="J2" i="22"/>
  <c r="F58" i="19" l="1"/>
  <c r="F60" i="19"/>
  <c r="F62" i="19"/>
  <c r="F63" i="19"/>
  <c r="F59" i="19"/>
  <c r="F61" i="19"/>
  <c r="F56" i="19"/>
  <c r="F57" i="19"/>
  <c r="F28" i="19"/>
  <c r="F30" i="19"/>
  <c r="F33" i="19"/>
  <c r="F31" i="19"/>
  <c r="F29" i="19"/>
  <c r="F27" i="19"/>
  <c r="F79" i="19"/>
  <c r="F74" i="19"/>
  <c r="F75" i="19"/>
  <c r="F72" i="19"/>
  <c r="F73" i="19"/>
  <c r="F80" i="19"/>
  <c r="F78" i="19"/>
  <c r="F77" i="19"/>
  <c r="F82" i="19"/>
  <c r="F76" i="19"/>
  <c r="F71" i="19"/>
  <c r="F81" i="19"/>
  <c r="F49" i="19"/>
  <c r="F43" i="19"/>
  <c r="F53" i="19"/>
  <c r="F45" i="19"/>
  <c r="F65" i="19"/>
  <c r="F52" i="19"/>
  <c r="F50" i="19"/>
  <c r="F47" i="19"/>
  <c r="F42" i="19"/>
  <c r="F68" i="19"/>
  <c r="F55" i="19"/>
  <c r="F48" i="19"/>
  <c r="F67" i="19"/>
  <c r="F64" i="19"/>
  <c r="F66" i="19"/>
  <c r="F46" i="19"/>
  <c r="F51" i="19"/>
  <c r="F44" i="19"/>
  <c r="F54" i="19"/>
  <c r="F70" i="19"/>
  <c r="F69" i="19"/>
  <c r="D22" i="19"/>
  <c r="F26" i="19"/>
  <c r="E16" i="19" l="1"/>
  <c r="E17" i="19"/>
  <c r="G63" i="19"/>
  <c r="G61" i="19"/>
  <c r="G58" i="19"/>
  <c r="G60" i="19"/>
  <c r="G62" i="19"/>
  <c r="G59" i="19"/>
  <c r="G56" i="19"/>
  <c r="G57" i="19"/>
  <c r="G119" i="19"/>
  <c r="G120" i="19"/>
  <c r="G112" i="19"/>
  <c r="G111" i="19"/>
  <c r="G110" i="19"/>
  <c r="G108" i="19"/>
  <c r="G114" i="19"/>
  <c r="G115" i="19"/>
  <c r="G118" i="19"/>
  <c r="G117" i="19"/>
  <c r="G113" i="19"/>
  <c r="G116" i="19"/>
  <c r="G109" i="19"/>
  <c r="G107" i="19"/>
  <c r="G104" i="19"/>
  <c r="G105" i="19"/>
  <c r="G106" i="19"/>
  <c r="G103" i="19"/>
  <c r="G102" i="19"/>
  <c r="G101" i="19"/>
  <c r="G100" i="19"/>
  <c r="G99" i="19"/>
  <c r="G98" i="19"/>
  <c r="G97" i="19"/>
  <c r="G96" i="19"/>
  <c r="G90" i="19"/>
  <c r="G81" i="19"/>
  <c r="G78" i="19"/>
  <c r="G49" i="19"/>
  <c r="G65" i="19"/>
  <c r="G92" i="19"/>
  <c r="G72" i="19"/>
  <c r="G43" i="19"/>
  <c r="G51" i="19"/>
  <c r="G67" i="19"/>
  <c r="G88" i="19"/>
  <c r="G76" i="19"/>
  <c r="G89" i="19"/>
  <c r="G48" i="19"/>
  <c r="G91" i="19"/>
  <c r="G80" i="19"/>
  <c r="G71" i="19"/>
  <c r="G50" i="19"/>
  <c r="G66" i="19"/>
  <c r="G79" i="19"/>
  <c r="G47" i="19"/>
  <c r="G84" i="19"/>
  <c r="G85" i="19"/>
  <c r="G93" i="19"/>
  <c r="G73" i="19"/>
  <c r="G44" i="19"/>
  <c r="G52" i="19"/>
  <c r="G68" i="19"/>
  <c r="G86" i="19"/>
  <c r="G94" i="19"/>
  <c r="G74" i="19"/>
  <c r="G45" i="19"/>
  <c r="G53" i="19"/>
  <c r="G87" i="19"/>
  <c r="G95" i="19"/>
  <c r="G75" i="19"/>
  <c r="G46" i="19"/>
  <c r="G54" i="19"/>
  <c r="G83" i="19"/>
  <c r="G55" i="19"/>
  <c r="G82" i="19"/>
  <c r="G64" i="19"/>
  <c r="G77" i="19"/>
  <c r="G26" i="19"/>
  <c r="G41" i="19"/>
  <c r="G38" i="19"/>
  <c r="G36" i="19"/>
  <c r="G37" i="19"/>
  <c r="G39" i="19"/>
  <c r="G40" i="19"/>
  <c r="G35" i="19"/>
  <c r="G34" i="19"/>
  <c r="G42" i="19"/>
  <c r="G28" i="19"/>
  <c r="G32" i="19"/>
  <c r="G29" i="19"/>
  <c r="G30" i="19"/>
  <c r="G33" i="19"/>
  <c r="G31" i="19"/>
  <c r="G27" i="19"/>
  <c r="E19" i="19"/>
  <c r="E20" i="19"/>
  <c r="E11" i="19"/>
  <c r="E21" i="19"/>
  <c r="E12" i="19"/>
  <c r="E18" i="19"/>
  <c r="E15" i="19"/>
  <c r="E13" i="19"/>
  <c r="E14" i="19"/>
  <c r="E22" i="19" l="1"/>
</calcChain>
</file>

<file path=xl/sharedStrings.xml><?xml version="1.0" encoding="utf-8"?>
<sst xmlns="http://schemas.openxmlformats.org/spreadsheetml/2006/main" count="1962" uniqueCount="682">
  <si>
    <t>Scope</t>
  </si>
  <si>
    <t>2014-15</t>
  </si>
  <si>
    <t>2015-16</t>
  </si>
  <si>
    <t>2016-17</t>
  </si>
  <si>
    <t>2017-18</t>
  </si>
  <si>
    <t>2018-19</t>
  </si>
  <si>
    <t>2019-20</t>
  </si>
  <si>
    <t>Natural Gas</t>
  </si>
  <si>
    <t>Burning oil - Kerosene</t>
  </si>
  <si>
    <t>Gas oil</t>
  </si>
  <si>
    <t>Wood pellets</t>
  </si>
  <si>
    <t>MPV - diesel</t>
  </si>
  <si>
    <t>Diesel van Class II (1.305 to 1.74 tonnes)</t>
  </si>
  <si>
    <t>Diesel van Class III (1.74 to 3.5 tonnes)</t>
  </si>
  <si>
    <t>Diesel 4x4</t>
  </si>
  <si>
    <t>Purchased electricity</t>
  </si>
  <si>
    <t>Small petrol motorbike 
(mopeds/scooters up to 125cc)</t>
  </si>
  <si>
    <t>Medium petrol motorbike 
(125-500cc)</t>
  </si>
  <si>
    <t>Average medium car (unknown fuel)</t>
  </si>
  <si>
    <t>Small hybrid car</t>
  </si>
  <si>
    <t>Medium hybrid car</t>
  </si>
  <si>
    <t>Large hybrid car</t>
  </si>
  <si>
    <t>Electric Vehicle</t>
  </si>
  <si>
    <t>Water</t>
  </si>
  <si>
    <t>kWh (Gross CV)</t>
  </si>
  <si>
    <t>Miles</t>
  </si>
  <si>
    <t>kWh</t>
  </si>
  <si>
    <t>Position</t>
  </si>
  <si>
    <t>Date</t>
  </si>
  <si>
    <t>Water Supply</t>
  </si>
  <si>
    <t>Cubic Meter</t>
  </si>
  <si>
    <t>Water Treatment</t>
  </si>
  <si>
    <t>https://www.gov.uk/government/collections/government-conversion-factors-for-company-reporting</t>
  </si>
  <si>
    <t>[Reporting Year]</t>
  </si>
  <si>
    <t>Corporate Property Sites</t>
  </si>
  <si>
    <t>Leisure Centres</t>
  </si>
  <si>
    <t>Fleet</t>
  </si>
  <si>
    <t>Community Schools and School Related Buildings</t>
  </si>
  <si>
    <t>Financial Control Boundary</t>
  </si>
  <si>
    <t>Operational Control Boundary</t>
  </si>
  <si>
    <t>Electricity</t>
  </si>
  <si>
    <t>Scope 3</t>
  </si>
  <si>
    <t>Reporting Year</t>
  </si>
  <si>
    <t>Scope 1</t>
  </si>
  <si>
    <t>Scope 2</t>
  </si>
  <si>
    <t>2020-21</t>
  </si>
  <si>
    <t>2021-22</t>
  </si>
  <si>
    <t>2022-23</t>
  </si>
  <si>
    <t>2023-24</t>
  </si>
  <si>
    <t>2024-25</t>
  </si>
  <si>
    <t>2025-26</t>
  </si>
  <si>
    <t>2027-28</t>
  </si>
  <si>
    <t>Activity</t>
  </si>
  <si>
    <t>Year</t>
  </si>
  <si>
    <t>Consumption</t>
  </si>
  <si>
    <t>Conversion Factor</t>
  </si>
  <si>
    <t>Bolton</t>
  </si>
  <si>
    <t>Manchester</t>
  </si>
  <si>
    <t>Oldham</t>
  </si>
  <si>
    <t>Tameside</t>
  </si>
  <si>
    <t>Trafford</t>
  </si>
  <si>
    <t>Wigan</t>
  </si>
  <si>
    <t>Knowsley</t>
  </si>
  <si>
    <t>St. Helens</t>
  </si>
  <si>
    <t>Sefton</t>
  </si>
  <si>
    <t>Barnsley</t>
  </si>
  <si>
    <t>Doncaster</t>
  </si>
  <si>
    <t>Rotherham</t>
  </si>
  <si>
    <t>Sheffield</t>
  </si>
  <si>
    <t>Gateshead</t>
  </si>
  <si>
    <t>Newcastle upon Tyne</t>
  </si>
  <si>
    <t>Sunderland</t>
  </si>
  <si>
    <t>Birmingham</t>
  </si>
  <si>
    <t>Coventry</t>
  </si>
  <si>
    <t>Solihull</t>
  </si>
  <si>
    <t>Bradford</t>
  </si>
  <si>
    <t>Calderdale</t>
  </si>
  <si>
    <t>Kirklees</t>
  </si>
  <si>
    <t>Leeds</t>
  </si>
  <si>
    <t>Wakefield</t>
  </si>
  <si>
    <t>Bury</t>
  </si>
  <si>
    <t>Rochdale</t>
  </si>
  <si>
    <t>Salford</t>
  </si>
  <si>
    <t>Stockport</t>
  </si>
  <si>
    <t>Liverpool</t>
  </si>
  <si>
    <t>Wirral</t>
  </si>
  <si>
    <t>North Tyneside</t>
  </si>
  <si>
    <t>South Tyneside</t>
  </si>
  <si>
    <t>Dudley</t>
  </si>
  <si>
    <t>Sandwell</t>
  </si>
  <si>
    <t>Walsall</t>
  </si>
  <si>
    <t>Wolverhampton</t>
  </si>
  <si>
    <t>Aylesbury Vale</t>
  </si>
  <si>
    <t>Chiltern</t>
  </si>
  <si>
    <t>South Bucks</t>
  </si>
  <si>
    <t>Wycombe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</si>
  <si>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</si>
  <si>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</si>
  <si>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</si>
  <si>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</si>
  <si>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</si>
  <si>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</si>
  <si>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</si>
  <si>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</si>
  <si>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</si>
  <si>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</si>
  <si>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</si>
  <si>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</si>
  <si>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</si>
  <si>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</si>
  <si>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</si>
  <si>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</si>
  <si>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</si>
  <si>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</si>
  <si>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</si>
  <si>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Mid Devon</t>
  </si>
  <si>
    <t>North Devon</t>
  </si>
  <si>
    <t>South Hams</t>
  </si>
  <si>
    <t>Teignbridge</t>
  </si>
  <si>
    <t>Torridge</t>
  </si>
  <si>
    <t>West Devon</t>
  </si>
  <si>
    <t>Lewes</t>
  </si>
  <si>
    <t>Rother</t>
  </si>
  <si>
    <t>Wealden</t>
  </si>
  <si>
    <t>Basildon</t>
  </si>
  <si>
    <t>Braintree</t>
  </si>
  <si>
    <t>Brentwood</t>
  </si>
  <si>
    <t>Castle Point</t>
  </si>
  <si>
    <t>Chelmsford</t>
  </si>
  <si>
    <t>Colchester</t>
  </si>
  <si>
    <t>Epping Forest</t>
  </si>
  <si>
    <t>Maldon</t>
  </si>
  <si>
    <t>Rochford</t>
  </si>
  <si>
    <t>Tendring</t>
  </si>
  <si>
    <t>Uttlesford</t>
  </si>
  <si>
    <t>Cheltenham</t>
  </si>
  <si>
    <t>Cotswold</t>
  </si>
  <si>
    <t>Forest of Dean</t>
  </si>
  <si>
    <t>Gloucester</t>
  </si>
  <si>
    <t>Stroud</t>
  </si>
  <si>
    <t>Tewkesbury</t>
  </si>
  <si>
    <t>Basingstoke and Deane</t>
  </si>
  <si>
    <t>East Hampshire</t>
  </si>
  <si>
    <t>Eastleigh</t>
  </si>
  <si>
    <t>Hart</t>
  </si>
  <si>
    <t>New Forest</t>
  </si>
  <si>
    <t>Test Valley</t>
  </si>
  <si>
    <t>Winchester</t>
  </si>
  <si>
    <t>Dacorum</t>
  </si>
  <si>
    <t>East Hertfordshire</t>
  </si>
  <si>
    <t>Hertsmere</t>
  </si>
  <si>
    <t>North Hertfordshire</t>
  </si>
  <si>
    <t>St Albans</t>
  </si>
  <si>
    <t>Three Rivers</t>
  </si>
  <si>
    <t>Welwyn Hatfield</t>
  </si>
  <si>
    <t>Ashford</t>
  </si>
  <si>
    <t>Canterbury</t>
  </si>
  <si>
    <t>Dartford</t>
  </si>
  <si>
    <t>Dover</t>
  </si>
  <si>
    <t>Gravesham</t>
  </si>
  <si>
    <t>Maidstone</t>
  </si>
  <si>
    <t>Sevenoaks</t>
  </si>
  <si>
    <t>Folkestone and Hythe</t>
  </si>
  <si>
    <t>Swale</t>
  </si>
  <si>
    <t>Thanet</t>
  </si>
  <si>
    <t>Tonbridge and Malling</t>
  </si>
  <si>
    <t>Tunbridge Wells</t>
  </si>
  <si>
    <t>Burnley</t>
  </si>
  <si>
    <t>Chorley</t>
  </si>
  <si>
    <t>Fylde</t>
  </si>
  <si>
    <t>Hyndburn</t>
  </si>
  <si>
    <t>Lancaster</t>
  </si>
  <si>
    <t>Pendle</t>
  </si>
  <si>
    <t>Preston</t>
  </si>
  <si>
    <t>Ribble Valley</t>
  </si>
  <si>
    <t>Rossendale</t>
  </si>
  <si>
    <t>South Ribble</t>
  </si>
  <si>
    <t>West Lancashire</t>
  </si>
  <si>
    <t>Wyre</t>
  </si>
  <si>
    <t>Blaby</t>
  </si>
  <si>
    <t>Charnwood</t>
  </si>
  <si>
    <t>Harborough</t>
  </si>
  <si>
    <t>Hinckley and Bosworth</t>
  </si>
  <si>
    <t>Melton</t>
  </si>
  <si>
    <t>North West Leicestershire</t>
  </si>
  <si>
    <t>Boston</t>
  </si>
  <si>
    <t>East Lindsey</t>
  </si>
  <si>
    <t>North Kesteven</t>
  </si>
  <si>
    <t>South Holland</t>
  </si>
  <si>
    <t>South Kesteven</t>
  </si>
  <si>
    <t>West Lindsey</t>
  </si>
  <si>
    <t>Breckland</t>
  </si>
  <si>
    <t>Broadland</t>
  </si>
  <si>
    <t>Great Yarmouth</t>
  </si>
  <si>
    <t>King's Lynn and West Norfolk</t>
  </si>
  <si>
    <t>North Norfolk</t>
  </si>
  <si>
    <t>South Norfolk</t>
  </si>
  <si>
    <t>Corby</t>
  </si>
  <si>
    <t>Daventry</t>
  </si>
  <si>
    <t>East Northamptonshire</t>
  </si>
  <si>
    <t>Kettering</t>
  </si>
  <si>
    <t>Northampton</t>
  </si>
  <si>
    <t>South Northamptonshire</t>
  </si>
  <si>
    <t>Wellingborough</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</si>
  <si>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</si>
  <si>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</si>
  <si>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</si>
  <si>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</si>
  <si>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</si>
  <si>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</si>
  <si>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</si>
  <si>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</si>
  <si>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</si>
  <si>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</si>
  <si>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</si>
  <si>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</si>
  <si>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</si>
  <si>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</si>
  <si>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</si>
  <si>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</si>
  <si>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</si>
  <si>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Vale of White Horse</t>
  </si>
  <si>
    <t>West Oxfordshire</t>
  </si>
  <si>
    <t>Mendip</t>
  </si>
  <si>
    <t>Sedgemoor</t>
  </si>
  <si>
    <t>South Somerset</t>
  </si>
  <si>
    <t>Somerset West and Taunton</t>
  </si>
  <si>
    <t>Cannock Chase</t>
  </si>
  <si>
    <t>East Staffordshire</t>
  </si>
  <si>
    <t>Lichfield</t>
  </si>
  <si>
    <t>Newcastle-under-Lyme</t>
  </si>
  <si>
    <t>South Staffordshire</t>
  </si>
  <si>
    <t>Stafford</t>
  </si>
  <si>
    <t>Staffordshire Moorlands</t>
  </si>
  <si>
    <t>Babergh</t>
  </si>
  <si>
    <t>West Suffolk</t>
  </si>
  <si>
    <t>Mid Suffolk</t>
  </si>
  <si>
    <t>East Suffolk</t>
  </si>
  <si>
    <t>Elmbridge</t>
  </si>
  <si>
    <t>Guildford</t>
  </si>
  <si>
    <t>Mole Valley</t>
  </si>
  <si>
    <t>Reigate and Banstead</t>
  </si>
  <si>
    <t>Surrey Heath</t>
  </si>
  <si>
    <t>Tandridge</t>
  </si>
  <si>
    <t>Waverley</t>
  </si>
  <si>
    <t>North Warwickshire</t>
  </si>
  <si>
    <t>Rugby</t>
  </si>
  <si>
    <t>Stratford-on-Avon</t>
  </si>
  <si>
    <t>Warwick</t>
  </si>
  <si>
    <t>Adur</t>
  </si>
  <si>
    <t>Arun</t>
  </si>
  <si>
    <t>Chichester</t>
  </si>
  <si>
    <t>Horsham</t>
  </si>
  <si>
    <t>Mid Sussex</t>
  </si>
  <si>
    <t>Bromsgrove</t>
  </si>
  <si>
    <t>Malvern Hills</t>
  </si>
  <si>
    <t>Redditch</t>
  </si>
  <si>
    <t>Worcester</t>
  </si>
  <si>
    <t>Wychavon</t>
  </si>
  <si>
    <t>Wyre Forest</t>
  </si>
  <si>
    <t>Cambridge</t>
  </si>
  <si>
    <t>Harlow</t>
  </si>
  <si>
    <t>Fareham</t>
  </si>
  <si>
    <t>Gosport</t>
  </si>
  <si>
    <t>Havant</t>
  </si>
  <si>
    <t>Stevenage</t>
  </si>
  <si>
    <t>Oadby and Wigston</t>
  </si>
  <si>
    <t>Tamworth</t>
  </si>
  <si>
    <t>Ipswich</t>
  </si>
  <si>
    <t>Epsom and Ewell</t>
  </si>
  <si>
    <t>Spelthorne</t>
  </si>
  <si>
    <t>Nuneaton and Bedworth</t>
  </si>
  <si>
    <t>Worthing</t>
  </si>
  <si>
    <t>Rushmoor</t>
  </si>
  <si>
    <t>Broxbourne</t>
  </si>
  <si>
    <t>Lincoln</t>
  </si>
  <si>
    <t>Woking</t>
  </si>
  <si>
    <t>Exeter</t>
  </si>
  <si>
    <t>Watford</t>
  </si>
  <si>
    <t>Hastings</t>
  </si>
  <si>
    <t>Eastbourne</t>
  </si>
  <si>
    <t>Runnymede</t>
  </si>
  <si>
    <t>Norwich</t>
  </si>
  <si>
    <t>Crawley</t>
  </si>
  <si>
    <t>Westminster</t>
  </si>
  <si>
    <t>Barking and Dagenham</t>
  </si>
  <si>
    <t>Barnet</t>
  </si>
  <si>
    <t>Brent</t>
  </si>
  <si>
    <t>Bromley</t>
  </si>
  <si>
    <t>Camden</t>
  </si>
  <si>
    <t>Ealing</t>
  </si>
  <si>
    <t>Enfield</t>
  </si>
  <si>
    <t>Greenwich</t>
  </si>
  <si>
    <t>Hammersmith and Fulham</t>
  </si>
  <si>
    <t>Haringey</t>
  </si>
  <si>
    <t>Harrow</t>
  </si>
  <si>
    <t>Havering</t>
  </si>
  <si>
    <t>Hillingdon</t>
  </si>
  <si>
    <t>Hounslow</t>
  </si>
  <si>
    <t>Islington</t>
  </si>
  <si>
    <t>Kingston upon Thames</t>
  </si>
  <si>
    <t>Lambeth</t>
  </si>
  <si>
    <t>Lewisham</t>
  </si>
  <si>
    <t>Merton</t>
  </si>
  <si>
    <t>Newham</t>
  </si>
  <si>
    <t>Richmond upon Thames</t>
  </si>
  <si>
    <t>Sutton</t>
  </si>
  <si>
    <t>Waltham Forest</t>
  </si>
  <si>
    <t>Wandsworth</t>
  </si>
  <si>
    <t>City of London</t>
  </si>
  <si>
    <t>Tower Hamlets</t>
  </si>
  <si>
    <t>Hackney</t>
  </si>
  <si>
    <t>Kensington and Chelsea</t>
  </si>
  <si>
    <t>Southwark</t>
  </si>
  <si>
    <t>Bexley</t>
  </si>
  <si>
    <t>Redbridge</t>
  </si>
  <si>
    <t>Croydon</t>
  </si>
  <si>
    <t>Hartlepool</t>
  </si>
  <si>
    <t>Middlesbrough</t>
  </si>
  <si>
    <t>Redcar and Cleveland</t>
  </si>
  <si>
    <t>Stockton-on-Tees</t>
  </si>
  <si>
    <t>Darlington</t>
  </si>
  <si>
    <t>Halton</t>
  </si>
  <si>
    <t>Warrington</t>
  </si>
  <si>
    <t>Blackburn with Darwen</t>
  </si>
  <si>
    <t>East Riding of Yorkshire</t>
  </si>
  <si>
    <t>North East Lincolnshire</t>
  </si>
  <si>
    <t>North Lincolnshire</t>
  </si>
  <si>
    <t>York</t>
  </si>
  <si>
    <t>Rutland</t>
  </si>
  <si>
    <t>Herefordshire, County of</t>
  </si>
  <si>
    <t>Telford and Wrekin</t>
  </si>
  <si>
    <t>Bath and North East Somerset</t>
  </si>
  <si>
    <t>North Somerset</t>
  </si>
  <si>
    <t>South Gloucestershire</t>
  </si>
  <si>
    <t>Torbay</t>
  </si>
  <si>
    <t>Swindon</t>
  </si>
  <si>
    <t>Peterborough</t>
  </si>
  <si>
    <t>Southend-on-Sea</t>
  </si>
  <si>
    <t>Medway</t>
  </si>
  <si>
    <t>Bracknell Forest</t>
  </si>
  <si>
    <t>West Berkshire</t>
  </si>
  <si>
    <t>Slough</t>
  </si>
  <si>
    <t>Windsor and Maidenhead</t>
  </si>
  <si>
    <t>Wokingham</t>
  </si>
  <si>
    <t>Milton Keynes</t>
  </si>
  <si>
    <t>Brighton and Hove</t>
  </si>
  <si>
    <t>Isle of Wight</t>
  </si>
  <si>
    <t>Bournemouth, Christchurch and Poole</t>
  </si>
  <si>
    <t>Dorset</t>
  </si>
  <si>
    <t>County Durham</t>
  </si>
  <si>
    <t>Northumberland</t>
  </si>
  <si>
    <t>Cheshire East</t>
  </si>
  <si>
    <t>Cheshire West and Chester</t>
  </si>
  <si>
    <t>Shropshire</t>
  </si>
  <si>
    <t>Cornwall</t>
  </si>
  <si>
    <t>Wiltshire</t>
  </si>
  <si>
    <t>Bedford</t>
  </si>
  <si>
    <t>Central Bedfordshire</t>
  </si>
  <si>
    <t>Isles of Scilly</t>
  </si>
  <si>
    <t>Blackpool</t>
  </si>
  <si>
    <t>Derby</t>
  </si>
  <si>
    <t>Plymouth</t>
  </si>
  <si>
    <t>Luton</t>
  </si>
  <si>
    <t>Thurrock</t>
  </si>
  <si>
    <t>Reading</t>
  </si>
  <si>
    <t>Portsmouth</t>
  </si>
  <si>
    <t>Southampton</t>
  </si>
  <si>
    <t>Stoke-on-Trent</t>
  </si>
  <si>
    <t>Leicester</t>
  </si>
  <si>
    <t>Bristol, City of</t>
  </si>
  <si>
    <t>Kingston upon Hull</t>
  </si>
  <si>
    <t>Nottingham</t>
  </si>
  <si>
    <t>Bournemouth</t>
  </si>
  <si>
    <t>Powys</t>
  </si>
  <si>
    <t>Ceredigion</t>
  </si>
  <si>
    <t>Gwynedd</t>
  </si>
  <si>
    <t>Carmarthenshire</t>
  </si>
  <si>
    <t>Conwy</t>
  </si>
  <si>
    <t>Isle of Anglesey</t>
  </si>
  <si>
    <t>Pembrokeshire</t>
  </si>
  <si>
    <t>Monmouthshire</t>
  </si>
  <si>
    <t>Swansea</t>
  </si>
  <si>
    <t>Wrexham</t>
  </si>
  <si>
    <t>Denbighshire</t>
  </si>
  <si>
    <t>Rhondda Cynon Taf</t>
  </si>
  <si>
    <t>Neath Port Talbot</t>
  </si>
  <si>
    <t>Vale of Glamorgan</t>
  </si>
  <si>
    <t>Newport</t>
  </si>
  <si>
    <t>Flintshire</t>
  </si>
  <si>
    <t>Merthyr Tydfil</t>
  </si>
  <si>
    <t>Caerphilly</t>
  </si>
  <si>
    <t>Torfaen</t>
  </si>
  <si>
    <t>Bridgend</t>
  </si>
  <si>
    <t>Cardiff</t>
  </si>
  <si>
    <t>Blaenau Gwent</t>
  </si>
  <si>
    <t>Buckinghamshire</t>
  </si>
  <si>
    <t>Cambridgeshire</t>
  </si>
  <si>
    <t>Cumbria</t>
  </si>
  <si>
    <t>Derbyshire</t>
  </si>
  <si>
    <t>Devon</t>
  </si>
  <si>
    <t>East Sussex</t>
  </si>
  <si>
    <t>Essex</t>
  </si>
  <si>
    <t>Gloucestershire</t>
  </si>
  <si>
    <t>Hampshire</t>
  </si>
  <si>
    <t>Hertfordshire</t>
  </si>
  <si>
    <t>Kent</t>
  </si>
  <si>
    <t>Lancashire</t>
  </si>
  <si>
    <t>Leicestershire</t>
  </si>
  <si>
    <t>Lincolnshire</t>
  </si>
  <si>
    <t>Norfolk</t>
  </si>
  <si>
    <t>Northamptonshire</t>
  </si>
  <si>
    <t>North Yorkshire</t>
  </si>
  <si>
    <t>Nottinghamshire</t>
  </si>
  <si>
    <t>Oxfordshire</t>
  </si>
  <si>
    <t>Somerset</t>
  </si>
  <si>
    <t>Staffordshire</t>
  </si>
  <si>
    <t>Suffolk</t>
  </si>
  <si>
    <t>Surrey</t>
  </si>
  <si>
    <t>Warwickshire</t>
  </si>
  <si>
    <t>West Sussex</t>
  </si>
  <si>
    <t>Worcestershire</t>
  </si>
  <si>
    <t>North West</t>
  </si>
  <si>
    <t>Yorkshire and The Humber</t>
  </si>
  <si>
    <t>North East</t>
  </si>
  <si>
    <t>West Midlands</t>
  </si>
  <si>
    <t>East Midlands</t>
  </si>
  <si>
    <t>South West</t>
  </si>
  <si>
    <t>East of England</t>
  </si>
  <si>
    <t>South East</t>
  </si>
  <si>
    <t>Metropolitan District</t>
  </si>
  <si>
    <t>Non Metropolitan District</t>
  </si>
  <si>
    <t>London Borough</t>
  </si>
  <si>
    <t>Unitary Authority</t>
  </si>
  <si>
    <t>County</t>
  </si>
  <si>
    <t>Region</t>
  </si>
  <si>
    <t>[Authority Type List]</t>
  </si>
  <si>
    <t>[Authority List]</t>
  </si>
  <si>
    <t>[Authority Region List]</t>
  </si>
  <si>
    <t>London</t>
  </si>
  <si>
    <t>Wales</t>
  </si>
  <si>
    <t>England</t>
  </si>
  <si>
    <t>Please Select Authority from List Above</t>
  </si>
  <si>
    <t>Burning Oil - Kerosene</t>
  </si>
  <si>
    <t>Gas Oil</t>
  </si>
  <si>
    <t>Wood Pellets</t>
  </si>
  <si>
    <t xml:space="preserve">Building Use </t>
  </si>
  <si>
    <t>Minibus</t>
  </si>
  <si>
    <t>Consumption Units</t>
  </si>
  <si>
    <t>Publication Date</t>
  </si>
  <si>
    <t>Emissions Type</t>
  </si>
  <si>
    <t>Heating</t>
  </si>
  <si>
    <t>Total Emissions</t>
  </si>
  <si>
    <t>Percentage of Total Emissions</t>
  </si>
  <si>
    <t>Yes</t>
  </si>
  <si>
    <t>Please Select</t>
  </si>
  <si>
    <t>No</t>
  </si>
  <si>
    <t>Drop down selection</t>
  </si>
  <si>
    <t>Text/number input</t>
  </si>
  <si>
    <t>(DD/MM/YYY)</t>
  </si>
  <si>
    <t>Calculation/Formula Cell - locked</t>
  </si>
  <si>
    <t>Summary</t>
  </si>
  <si>
    <t>Small petrol cars  ≤ 1.4 litre</t>
  </si>
  <si>
    <t>Small diesel car ≤ 1.7 litre</t>
  </si>
  <si>
    <t>Medium diesel car 1.7 - 2.0 litre</t>
  </si>
  <si>
    <t>Large diesel car &gt; 2.0 litre</t>
  </si>
  <si>
    <t>Large petrol car &gt; 2.0 litre</t>
  </si>
  <si>
    <t>Medium diesel car, 1.7 - 2.0 litre</t>
  </si>
  <si>
    <t>Diesel van Class I (up to 1.305 tonnes)</t>
  </si>
  <si>
    <t>Hostels (i.e. Temporary Accommodation)</t>
  </si>
  <si>
    <t>Emission Factor Source</t>
  </si>
  <si>
    <t>Latest Publication</t>
  </si>
  <si>
    <t>Medium petrol car 1.4 - 2.0 litre</t>
  </si>
  <si>
    <t>[Reporting Month]</t>
  </si>
  <si>
    <t>January</t>
  </si>
  <si>
    <t>February</t>
  </si>
  <si>
    <t>March</t>
  </si>
  <si>
    <t>April</t>
  </si>
  <si>
    <t>May</t>
  </si>
  <si>
    <t>June</t>
  </si>
  <si>
    <t>July</t>
  </si>
  <si>
    <t>August</t>
  </si>
  <si>
    <t>September</t>
  </si>
  <si>
    <t>October</t>
  </si>
  <si>
    <t>November</t>
  </si>
  <si>
    <t>December</t>
  </si>
  <si>
    <t>Please Select From Option</t>
  </si>
  <si>
    <t>Please Select Control Boundary</t>
  </si>
  <si>
    <t>[Yes/No]</t>
  </si>
  <si>
    <t>[Control Boundary]</t>
  </si>
  <si>
    <t>Percentage of Type Emissions</t>
  </si>
  <si>
    <t>Transmission &amp; Distribution Losses on EV</t>
  </si>
  <si>
    <t>Scope 1 Emissions - Heating</t>
  </si>
  <si>
    <t>Scope 1 Emissions - Authority Fleet</t>
  </si>
  <si>
    <t>Scope 2 Emissions - Electricity</t>
  </si>
  <si>
    <t>Overall Authority Emissions</t>
  </si>
  <si>
    <t>Authority's Fleet</t>
  </si>
  <si>
    <t>Activity*
Engine sizes below are for indicative purposes only</t>
  </si>
  <si>
    <t>Petrol (average biofuel blend)</t>
  </si>
  <si>
    <t>Diesel (average biofuel blend)</t>
  </si>
  <si>
    <t>MPV - Diesel</t>
  </si>
  <si>
    <t>Minibus - Diesel</t>
  </si>
  <si>
    <t>Small Petrol Cars  ≤ 1.4 litre</t>
  </si>
  <si>
    <t>Small Hybrid Car - Petrol</t>
  </si>
  <si>
    <t>Large Diesel Car &gt; 2.0 litre</t>
  </si>
  <si>
    <t>Small Petrol Motorbike (Mopeds/Scooters up to 125cc)</t>
  </si>
  <si>
    <t>Medium Petrol Car 1.4 - 2.0 litre</t>
  </si>
  <si>
    <t>Large Petrol Car &gt; 2.0 litre</t>
  </si>
  <si>
    <t>[Fleet Units]</t>
  </si>
  <si>
    <t>Litres</t>
  </si>
  <si>
    <t>Consumption Units
(Please Select)</t>
  </si>
  <si>
    <t>[Heating Units]</t>
  </si>
  <si>
    <t>Rigid HGV (&gt;7.5 tonnes-17 tonnes)</t>
  </si>
  <si>
    <t>Rigid HGV (&gt;17 tonnes)</t>
  </si>
  <si>
    <t>Articulated HGV (&gt;3.5 - 33t)</t>
  </si>
  <si>
    <t>Articulated HGV (&gt;33t)</t>
  </si>
  <si>
    <t>All HGVs</t>
  </si>
  <si>
    <t>All Articulated HGVs</t>
  </si>
  <si>
    <t>All Rigid HGVs</t>
  </si>
  <si>
    <t>Other Vehicles - Petrol</t>
  </si>
  <si>
    <t>Other Vehicles - Diesel</t>
  </si>
  <si>
    <t>Rigid HGV (&gt;3.5 - 7.5 tonnes)</t>
  </si>
  <si>
    <t>T&amp;D Losses - Scope 2 Electricity</t>
  </si>
  <si>
    <t>Staff Travel</t>
  </si>
  <si>
    <t>Scope 3 Emissions - T&amp;D Losses</t>
  </si>
  <si>
    <t>Electric Vehicle (Average Sized Car)</t>
  </si>
  <si>
    <t>Average Medium Car (Unknown Fuel)</t>
  </si>
  <si>
    <t>Medium Hybrid Car - Petrol</t>
  </si>
  <si>
    <t>Large Hybrid Car - Petrol</t>
  </si>
  <si>
    <t>Reporting year</t>
  </si>
  <si>
    <t>Reporting year start</t>
  </si>
  <si>
    <t>Reporting year end</t>
  </si>
  <si>
    <t>Authority name</t>
  </si>
  <si>
    <t>Authority type</t>
  </si>
  <si>
    <t>Authority region</t>
  </si>
  <si>
    <t>Prepared by</t>
  </si>
  <si>
    <t>Colour code</t>
  </si>
  <si>
    <t>Copyright</t>
  </si>
  <si>
    <t>Local Partnerships LLP 2020</t>
  </si>
  <si>
    <r>
      <t xml:space="preserve">In order to satisfy the principles of Consistency and Comparability in carbon accounting as stated in the latest Environmental Reporting Guidelines issued by HM Government*, the same reporting period should be used throughout the organisation, i.e. for the carbon audit to be meaningful, the data sets needed would be for the latest period available for all properties and services across the authority. 
This means the data will be assessed for all organisations and buildings for the latest 12 month period available across all organisations, e.g. 2019 or 2019-2020 financial year or April 2019 through to March 2020, etc. As this can be used as a basis for aligning both carbon and financial budgets, reporting on the latest financial year is advisable.
</t>
    </r>
    <r>
      <rPr>
        <sz val="11"/>
        <color rgb="FF007078"/>
        <rFont val="Arial"/>
        <family val="2"/>
      </rPr>
      <t>*https://assets.publishing.service.gov.uk/government/uploads/system/uploads/attachment_data/file/850130/Env-reporting-guidance_inc_SECR_31March.pdf</t>
    </r>
  </si>
  <si>
    <t xml:space="preserve">Any other buildings or energy consuming </t>
  </si>
  <si>
    <t>Further comments or clarification about your carbon calculation: make any further notes about your calculation in the cell below</t>
  </si>
  <si>
    <t>Summary by scope</t>
  </si>
  <si>
    <r>
      <t>Emissions
(tCO</t>
    </r>
    <r>
      <rPr>
        <b/>
        <vertAlign val="subscript"/>
        <sz val="11"/>
        <color theme="0"/>
        <rFont val="Arial"/>
        <family val="2"/>
      </rPr>
      <t>2</t>
    </r>
    <r>
      <rPr>
        <b/>
        <sz val="11"/>
        <color theme="0"/>
        <rFont val="Arial"/>
        <family val="2"/>
      </rPr>
      <t>e)</t>
    </r>
  </si>
  <si>
    <t>Scope 3 Emissions - Water</t>
  </si>
  <si>
    <t>R410A</t>
  </si>
  <si>
    <t>FAQ Link</t>
  </si>
  <si>
    <t>Scope 1 Emissions - Fugitive Emissions</t>
  </si>
  <si>
    <r>
      <t>kgCO</t>
    </r>
    <r>
      <rPr>
        <b/>
        <vertAlign val="subscript"/>
        <sz val="11"/>
        <color theme="0"/>
        <rFont val="Arial"/>
        <family val="2"/>
      </rPr>
      <t>2</t>
    </r>
    <r>
      <rPr>
        <b/>
        <sz val="11"/>
        <color theme="0"/>
        <rFont val="Arial"/>
        <family val="2"/>
      </rPr>
      <t>e/litre</t>
    </r>
  </si>
  <si>
    <r>
      <t>kgCO</t>
    </r>
    <r>
      <rPr>
        <b/>
        <vertAlign val="subscript"/>
        <sz val="11"/>
        <color theme="0"/>
        <rFont val="Arial"/>
        <family val="2"/>
      </rPr>
      <t>2</t>
    </r>
    <r>
      <rPr>
        <b/>
        <sz val="11"/>
        <color theme="0"/>
        <rFont val="Arial"/>
        <family val="2"/>
      </rPr>
      <t>e/kg</t>
    </r>
  </si>
  <si>
    <r>
      <t>kgCO</t>
    </r>
    <r>
      <rPr>
        <b/>
        <vertAlign val="subscript"/>
        <sz val="11"/>
        <color theme="0"/>
        <rFont val="Arial"/>
        <family val="2"/>
      </rPr>
      <t>2</t>
    </r>
    <r>
      <rPr>
        <b/>
        <sz val="11"/>
        <color theme="0"/>
        <rFont val="Arial"/>
        <family val="2"/>
      </rPr>
      <t>e/miles</t>
    </r>
  </si>
  <si>
    <r>
      <t>kgCO</t>
    </r>
    <r>
      <rPr>
        <b/>
        <vertAlign val="subscript"/>
        <sz val="11"/>
        <color theme="0"/>
        <rFont val="Arial"/>
        <family val="2"/>
      </rPr>
      <t>2</t>
    </r>
    <r>
      <rPr>
        <b/>
        <sz val="11"/>
        <color theme="0"/>
        <rFont val="Arial"/>
        <family val="2"/>
      </rPr>
      <t>e/kWh</t>
    </r>
  </si>
  <si>
    <r>
      <t>kgCO</t>
    </r>
    <r>
      <rPr>
        <b/>
        <vertAlign val="subscript"/>
        <sz val="11"/>
        <color theme="0"/>
        <rFont val="Arial"/>
        <family val="2"/>
      </rPr>
      <t>2</t>
    </r>
    <r>
      <rPr>
        <b/>
        <sz val="11"/>
        <color theme="0"/>
        <rFont val="Arial"/>
        <family val="2"/>
      </rPr>
      <t>e/m</t>
    </r>
    <r>
      <rPr>
        <b/>
        <vertAlign val="superscript"/>
        <sz val="11"/>
        <color theme="0"/>
        <rFont val="Arial"/>
        <family val="2"/>
      </rPr>
      <t>3</t>
    </r>
  </si>
  <si>
    <t>HCFC-22/R22</t>
  </si>
  <si>
    <r>
      <t>kgCO</t>
    </r>
    <r>
      <rPr>
        <b/>
        <vertAlign val="subscript"/>
        <sz val="11"/>
        <color theme="0"/>
        <rFont val="Arial"/>
        <family val="2"/>
      </rPr>
      <t>2</t>
    </r>
    <r>
      <rPr>
        <b/>
        <sz val="11"/>
        <color theme="0"/>
        <rFont val="Arial"/>
        <family val="2"/>
      </rPr>
      <t>e/kWh (Gross CV)</t>
    </r>
  </si>
  <si>
    <t>HFC-32</t>
  </si>
  <si>
    <t>Authority Name</t>
  </si>
  <si>
    <t>Control Boundary</t>
  </si>
  <si>
    <t>Emissions
(tCO2e)</t>
  </si>
  <si>
    <t>Street lighting, Illuminated Bollards and Signs</t>
  </si>
  <si>
    <t>Scope 3 Emissions - Outsourced Travel</t>
  </si>
  <si>
    <t>Staff Business Travel</t>
  </si>
  <si>
    <t>Medium Petrol Motorbike (125-500cc)</t>
  </si>
  <si>
    <t>Average Medium Car (unknown fuel)</t>
  </si>
  <si>
    <t>Small Diesel Car ≤ 1.7 litre</t>
  </si>
  <si>
    <t>Medium Diesel Car 1.7 - 2.0 litre</t>
  </si>
  <si>
    <t>Outsourced Scope 3</t>
  </si>
  <si>
    <t>Scope 3 Emissions - Staff Travel</t>
  </si>
  <si>
    <t>Outsourced Scope 3 - Heating</t>
  </si>
  <si>
    <t>Outsourced Scope 3 - Fugitive Emissions</t>
  </si>
  <si>
    <t>Outsourced Scope 3 - Authority Fleet</t>
  </si>
  <si>
    <t>Outsourced Scope 3 - Staff Travel</t>
  </si>
  <si>
    <t>Outsourced Scope 3 - Electricity</t>
  </si>
  <si>
    <t>Local Partnerships LLP 2021</t>
  </si>
  <si>
    <t>Liquid Petroleum Gas</t>
  </si>
  <si>
    <t>Propane</t>
  </si>
  <si>
    <t>Coal (Domestic)</t>
  </si>
  <si>
    <t>Small car (PHEV)</t>
  </si>
  <si>
    <t>Medium car (PHEV)</t>
  </si>
  <si>
    <t>Large car (PHEV)</t>
  </si>
  <si>
    <t>Average car (PHEV)</t>
  </si>
  <si>
    <t>Small car (BEV)</t>
  </si>
  <si>
    <t>Medium car (BEV)</t>
  </si>
  <si>
    <t>Large car (BEV)</t>
  </si>
  <si>
    <t>Average car (BEV)</t>
  </si>
  <si>
    <t>UK electricity for Electric Cars</t>
  </si>
  <si>
    <t>UK electricity for Electric Vans</t>
  </si>
  <si>
    <t>Class I (up to 1.305 tonnes) BEV</t>
  </si>
  <si>
    <t>Class II (1.305 to 1.74 tonnes) BEV</t>
  </si>
  <si>
    <t>Class III (1.74 to 3.5 tonnes) BEV</t>
  </si>
  <si>
    <t>Average (up to 3.5 tonnes) BEV</t>
  </si>
  <si>
    <t>Material Use</t>
  </si>
  <si>
    <t>Food and drink</t>
  </si>
  <si>
    <t>tonnes</t>
  </si>
  <si>
    <t>Electrical items - IT</t>
  </si>
  <si>
    <t>Plastics: average plastics</t>
  </si>
  <si>
    <t>Plastics: PS (incl. forming)</t>
  </si>
  <si>
    <t>Plastics: PVC (incl. forming)</t>
  </si>
  <si>
    <t>Paper and board: paper</t>
  </si>
  <si>
    <t>Glass</t>
  </si>
  <si>
    <t>Organic: food and drink waste</t>
  </si>
  <si>
    <t>Commercial and industrial waste</t>
  </si>
  <si>
    <t>WEEE - mixed</t>
  </si>
  <si>
    <t>Metal: mixed cans</t>
  </si>
  <si>
    <t>Other Please Specify</t>
  </si>
  <si>
    <t>Paper and board: mixed</t>
  </si>
  <si>
    <t>Wood Chips</t>
  </si>
  <si>
    <t>kg CO2e</t>
  </si>
  <si>
    <t xml:space="preserve">Waste generated from own operations </t>
  </si>
  <si>
    <t>Disposal Method</t>
  </si>
  <si>
    <t>Primary material production</t>
  </si>
  <si>
    <t>Open-loop source</t>
  </si>
  <si>
    <t>Closed-loop source</t>
  </si>
  <si>
    <t xml:space="preserve">Material Sourced </t>
  </si>
  <si>
    <t>[Plastics]</t>
  </si>
  <si>
    <t>[Paper]</t>
  </si>
  <si>
    <t>[Glass]</t>
  </si>
  <si>
    <t>Open-loop</t>
  </si>
  <si>
    <t>Closed-loop</t>
  </si>
  <si>
    <t>Combustion</t>
  </si>
  <si>
    <t>Landfill</t>
  </si>
  <si>
    <t>Composting</t>
  </si>
  <si>
    <t>Anaerobic digestion</t>
  </si>
  <si>
    <t>[Organic Waste]</t>
  </si>
  <si>
    <t>[Commercial Waste]</t>
  </si>
  <si>
    <t>[WEEE - mixed]</t>
  </si>
  <si>
    <t>[Mixed Cans]</t>
  </si>
  <si>
    <t>[avrg plastics]</t>
  </si>
  <si>
    <t>[Paper &amp; Board]</t>
  </si>
  <si>
    <t>Plastics: average plastics PMP</t>
  </si>
  <si>
    <t>Plastics: average plastics OPS</t>
  </si>
  <si>
    <t>Plastics: average plastics CLS</t>
  </si>
  <si>
    <t>Plastics: PS (incl. forming) PMP</t>
  </si>
  <si>
    <t>Plastics: PS (incl. forming) OPS</t>
  </si>
  <si>
    <t>Plastics: PS (incl. forming) CLS</t>
  </si>
  <si>
    <t>Plastics: PVC (incl. forming) PMP</t>
  </si>
  <si>
    <t>Plastics: PVC (incl. forming) OLS</t>
  </si>
  <si>
    <t>Plastics: PVC (incl. forming) CLS</t>
  </si>
  <si>
    <t>Paper and board: paper PMP</t>
  </si>
  <si>
    <t>Paper and board: paper CLS</t>
  </si>
  <si>
    <t>Glass OL</t>
  </si>
  <si>
    <t>Glass CL</t>
  </si>
  <si>
    <t>Glass Combustion</t>
  </si>
  <si>
    <t>Glass Landfill</t>
  </si>
  <si>
    <t>Organic: food and drink waste Combustion</t>
  </si>
  <si>
    <t>Organic: food and drink waste Composting</t>
  </si>
  <si>
    <t>Organic: food and drink waste landfill</t>
  </si>
  <si>
    <t>Organic: food and drink waste AD</t>
  </si>
  <si>
    <t>Commercial and industrial waste CL</t>
  </si>
  <si>
    <t>Commercial and industrial waste Combustion</t>
  </si>
  <si>
    <t>Commercial and industrial waste Landfill</t>
  </si>
  <si>
    <t>Commercial and industrial waste Composting</t>
  </si>
  <si>
    <t>Commercial and industrial waste AD</t>
  </si>
  <si>
    <t>WEEE - mixed OL</t>
  </si>
  <si>
    <t>WEEE - mixed Combustion</t>
  </si>
  <si>
    <t>WEEE - mixed Landfill</t>
  </si>
  <si>
    <t>Metal: mixed cans OL</t>
  </si>
  <si>
    <t>Metal: mixed cans CL</t>
  </si>
  <si>
    <t>Metal: mixed cans Combustion</t>
  </si>
  <si>
    <t>Metal: mixed cans Landfill</t>
  </si>
  <si>
    <t>Plastics: average plastics OL</t>
  </si>
  <si>
    <t>Plastics: average plastics CL</t>
  </si>
  <si>
    <t>Plastics: average plastics Combustion</t>
  </si>
  <si>
    <t>Plastics: average plastics Landfill</t>
  </si>
  <si>
    <t>Paper and board: mixed CL</t>
  </si>
  <si>
    <t>Paper and board: mixed Combustion</t>
  </si>
  <si>
    <t>Paper and board: mixed Composting</t>
  </si>
  <si>
    <t>Paper and board: mixed Landfill</t>
  </si>
  <si>
    <r>
      <t xml:space="preserve">
This Carbon Accounting Tool has been produced by Local Partnerships to help local authorities establish their baseline greenhouse gas emissions over a single reporting year. This tool provides a focus on Scope 1 and 2 emissions and is developing some Scope 3 data sets. Please read the “Scope Guidance” sheet carefully to determine which consumption data is to be considered in-scope. Emissions are determined by the multiplying of consumption data from your authority with conversion factors set by BEIS. Emissions are reported as CO</t>
    </r>
    <r>
      <rPr>
        <vertAlign val="subscript"/>
        <sz val="11"/>
        <color theme="1"/>
        <rFont val="Arial"/>
        <family val="2"/>
      </rPr>
      <t>2</t>
    </r>
    <r>
      <rPr>
        <sz val="11"/>
        <color theme="1"/>
        <rFont val="Arial"/>
        <family val="2"/>
      </rPr>
      <t>e. The Greenhouse Gas Protocol methodology accounts and reports on the seven greenhouse gases covered by the Kyoto Protocol – carbon dioxide (CO</t>
    </r>
    <r>
      <rPr>
        <vertAlign val="subscript"/>
        <sz val="11"/>
        <color theme="1"/>
        <rFont val="Arial"/>
        <family val="2"/>
      </rPr>
      <t>2</t>
    </r>
    <r>
      <rPr>
        <sz val="11"/>
        <color theme="1"/>
        <rFont val="Arial"/>
        <family val="2"/>
      </rPr>
      <t>), methane (CH</t>
    </r>
    <r>
      <rPr>
        <vertAlign val="subscript"/>
        <sz val="11"/>
        <color theme="1"/>
        <rFont val="Arial"/>
        <family val="2"/>
      </rPr>
      <t>4</t>
    </r>
    <r>
      <rPr>
        <sz val="11"/>
        <color theme="1"/>
        <rFont val="Arial"/>
        <family val="2"/>
      </rPr>
      <t>), nitrous oxide (N</t>
    </r>
    <r>
      <rPr>
        <vertAlign val="subscript"/>
        <sz val="11"/>
        <color theme="1"/>
        <rFont val="Arial"/>
        <family val="2"/>
      </rPr>
      <t>2</t>
    </r>
    <r>
      <rPr>
        <sz val="11"/>
        <color theme="1"/>
        <rFont val="Arial"/>
        <family val="2"/>
      </rPr>
      <t>O), hydrofluorocarbons (HFCs), perfluorocarbons (PCFs), sulphur hexafluoride (SF</t>
    </r>
    <r>
      <rPr>
        <vertAlign val="subscript"/>
        <sz val="11"/>
        <color theme="1"/>
        <rFont val="Arial"/>
        <family val="2"/>
      </rPr>
      <t>6</t>
    </r>
    <r>
      <rPr>
        <sz val="11"/>
        <color theme="1"/>
        <rFont val="Arial"/>
        <family val="2"/>
      </rPr>
      <t>) and nitrogen trifluoride (NF</t>
    </r>
    <r>
      <rPr>
        <vertAlign val="subscript"/>
        <sz val="11"/>
        <color theme="1"/>
        <rFont val="Arial"/>
        <family val="2"/>
      </rPr>
      <t>3</t>
    </r>
    <r>
      <rPr>
        <sz val="11"/>
        <color theme="1"/>
        <rFont val="Arial"/>
        <family val="2"/>
      </rPr>
      <t>), expressed as CO</t>
    </r>
    <r>
      <rPr>
        <vertAlign val="subscript"/>
        <sz val="11"/>
        <color theme="1"/>
        <rFont val="Arial"/>
        <family val="2"/>
      </rPr>
      <t>2</t>
    </r>
    <r>
      <rPr>
        <sz val="11"/>
        <color theme="1"/>
        <rFont val="Arial"/>
        <family val="2"/>
      </rPr>
      <t xml:space="preserve">e.  
Please enter the consumption data with the units prescribed in the Input sheet.
This Tool consists of nine (9) worksheets: Scope Guidance, inputs for Scope 1-3 (and Outsourced Scope 3), Summary Tables, Summary Charts, FAQs and GHG Emission Factors sheets.
Any input cells will be coloured in lime; calculation cells in light green and are locked from editing; and any drop-down menu cells will be coloured in dark green.
In case of any questions please contact Local Partnerships at ghgaccounting@localpartnerships.gov.uk. Please contact Local Partnerships if there is a warning next to the date, indicating that the BEIS conversion factors need to be updated for a new reporting year.
</t>
    </r>
    <r>
      <rPr>
        <b/>
        <sz val="11"/>
        <color theme="1"/>
        <rFont val="Arial"/>
        <family val="2"/>
      </rPr>
      <t>Disclaimer</t>
    </r>
    <r>
      <rPr>
        <sz val="11"/>
        <color theme="1"/>
        <rFont val="Arial"/>
        <family val="2"/>
      </rPr>
      <t xml:space="preserve">
This Carbon Accounting Tool has been produced and published in good faith by Local Partnerships and Local Partnerships shall not incur any liability for any action or omission arising out of any reliance being placed on it (including any information it contains) by any individual/organisation.  This Tool is intended to provide general guidance only, and any individual/organisation should consider independent technical, legal, financial and/or other relevant professional advice when considering what action (if any) to take in respect of any associated initiative, proposal or other arrangement, or before placing any reliance on this Tool (including any information it contains).  This Tool has been produced to support the public sector, and in particular local authorities in the management of their own emissions.  It is not intended for use by commercial organisations where the accounting guidance may differ.  Charging for the use of this Tool shall not be permitted in any circumstances.
</t>
    </r>
  </si>
  <si>
    <t>NB - Green tariffs and offsetting: please include what you have done in relation to considering purchasing green tariffs.  There are two main Government guidance documents which can help LAs looking to reduce GHG emissions by purchasing renewable energy: 1. “Guidance on how to measure and report your greenhouse gas emissions” (2009); and 2. “Environmental Reporting Guidelines: Including streamlined energy and carbon reporting guidance” (2019).  Green tariffs should be researched carefully as some tariffs are not as environmentally friendly as they claim to be.  Offsetting should consider the following questions - has the LA offset any emissions by, e.g. planting trees? Is the LA aware of the issues around offsetting?</t>
  </si>
  <si>
    <t>[EV]</t>
  </si>
  <si>
    <t>Mileage</t>
  </si>
  <si>
    <t>T&amp;D Losses - EV Mileage Per Vehicle</t>
  </si>
  <si>
    <t>T&amp;D Losses - EV Charging</t>
  </si>
  <si>
    <t>Propane*</t>
  </si>
  <si>
    <t xml:space="preserve">*Propane was first introduced to the 2021-22 release of the BEIS conversion factors and not was not present in previous versions. As such, if entering data for 2020-21, the conversion factor used for propane is the 2021-22 figure. </t>
  </si>
  <si>
    <t>Electrical items - IT*</t>
  </si>
  <si>
    <t xml:space="preserve">*'Electrical Items - IT' was first introduced to the 2021-22 release of the BEIS conversion factors and not was not present in previous versions. As such, if entering data for 2020-21, the conversion factor used for 'Electrical Items -IT' is the 2021-22 figure. </t>
  </si>
  <si>
    <t>Unavailable</t>
  </si>
  <si>
    <t>FAQ for this document can be found in the following link:-
https://localpartnerships.org.uk/wp-content/uploads/2021/07/Greenhouse-Gas-Accounting-Tool-FAQ-updated-July-2021.pdf</t>
  </si>
  <si>
    <t>PHEV Plug in Hybrid Vehicle   BEV Battery Electric Vehicle</t>
  </si>
  <si>
    <t>Minibus - Petrol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</si>
</sst>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00"/>
    <numFmt numFmtId="165" formatCode="_-* #,##0_-;\-* #,##0_-;_-* &quot;-&quot;??_-;_-@_-"/>
    <numFmt numFmtId="166" formatCode="0.0%"/>
    <numFmt numFmtId="167" formatCode="_-[$€-2]* #,##0.00_-;\-[$€-2]* #,##0.00_-;_-[$€-2]* &quot;-&quot;??_-"/>
    <numFmt numFmtId="168" formatCode="[&gt;0.5]#,##0;[&lt;-0.5]\-#,##0;\-"/>
    <numFmt numFmtId="169" formatCode="_-* #,##0\ _F_-;\-* #,##0\ _F_-;_-* &quot;-&quot;\ _F_-;_-@_-"/>
    <numFmt numFmtId="170" formatCode="_-* #,##0.00\ _F_-;\-* #,##0.00\ _F_-;_-* &quot;-&quot;??\ _F_-;_-@_-"/>
    <numFmt numFmtId="171" formatCode="_-* #,##0\ &quot;F&quot;_-;\-* #,##0\ &quot;F&quot;_-;_-* &quot;-&quot;\ &quot;F&quot;_-;_-@_-"/>
    <numFmt numFmtId="172" formatCode="_-* #,##0.00\ &quot;F&quot;_-;\-* #,##0.00\ &quot;F&quot;_-;_-* &quot;-&quot;??\ &quot;F&quot;_-;_-@_-"/>
    <numFmt numFmtId="173" formatCode="###.0"/>
    <numFmt numFmtId="174" formatCode="##.0"/>
    <numFmt numFmtId="175" formatCode="#,###,##0"/>
    <numFmt numFmtId="176" formatCode="_-&quot;öS&quot;\ * #,##0_-;\-&quot;öS&quot;\ * #,##0_-;_-&quot;öS&quot;\ * &quot;-&quot;_-;_-@_-"/>
    <numFmt numFmtId="177" formatCode="_-&quot;öS&quot;\ * #,##0.00_-;\-&quot;öS&quot;\ * #,##0.00_-;_-&quot;öS&quot;\ * &quot;-&quot;??_-;_-@_-"/>
    <numFmt numFmtId="178" formatCode="#,##0_ ;\-#,##0\ "/>
  </numFmts>
  <fonts count="65" x14ac:knownFonts="1">
    <font>
      <sz val="11"/>
      <color theme="1"/>
      <name val="Arial"/>
      <family val="2"/>
    </font>
    <font>
      <sz val="11"/>
      <color theme="1"/>
      <name val="Calibri"/>
      <family val="2"/>
      <scheme val="minor"/>
    </font>
    <font>
      <sz val="11"/>
      <color theme="1"/>
      <name val="Arial"/>
      <family val="2"/>
    </font>
    <font>
      <u/>
      <sz val="11"/>
      <color theme="10"/>
      <name val="Arial"/>
      <family val="2"/>
    </font>
    <font>
      <i/>
      <sz val="11"/>
      <color theme="1"/>
      <name val="Arial"/>
      <family val="2"/>
    </font>
    <font>
      <sz val="10"/>
      <name val="Arial"/>
      <family val="2"/>
    </font>
    <font>
      <sz val="11"/>
      <color theme="1"/>
      <name val="Calibri"/>
      <family val="2"/>
      <scheme val="minor"/>
    </font>
    <font>
      <b/>
      <sz val="11"/>
      <color theme="1"/>
      <name val="Arial"/>
      <family val="2"/>
    </font>
    <font>
      <b/>
      <sz val="11"/>
      <color theme="0"/>
      <name val="Arial"/>
      <family val="2"/>
    </font>
    <font>
      <b/>
      <i/>
      <sz val="11"/>
      <color theme="1"/>
      <name val="Arial"/>
      <family val="2"/>
    </font>
    <font>
      <b/>
      <u/>
      <sz val="11"/>
      <color theme="1"/>
      <name val="Arial"/>
      <family val="2"/>
    </font>
    <font>
      <sz val="8"/>
      <name val="Arial"/>
      <family val="2"/>
    </font>
    <font>
      <b/>
      <sz val="12"/>
      <name val="Helv"/>
    </font>
    <font>
      <sz val="12"/>
      <color indexed="10"/>
      <name val="Arial"/>
      <family val="2"/>
    </font>
    <font>
      <b/>
      <sz val="18"/>
      <color indexed="56"/>
      <name val="Cambria"/>
      <family val="2"/>
    </font>
    <font>
      <sz val="8"/>
      <name val="Helv"/>
    </font>
    <font>
      <sz val="11"/>
      <color indexed="8"/>
      <name val="Arial"/>
      <family val="2"/>
    </font>
    <font>
      <i/>
      <sz val="12"/>
      <name val="Times New Roman"/>
      <family val="1"/>
    </font>
    <font>
      <b/>
      <sz val="12"/>
      <color indexed="8"/>
      <name val="Arial"/>
      <family val="2"/>
    </font>
    <font>
      <u/>
      <sz val="10"/>
      <color indexed="12"/>
      <name val="Arial"/>
      <family val="2"/>
    </font>
    <font>
      <b/>
      <sz val="10"/>
      <color indexed="18"/>
      <name val="Arial"/>
      <family val="2"/>
    </font>
    <font>
      <sz val="12"/>
      <color indexed="62"/>
      <name val="Arial"/>
      <family val="2"/>
    </font>
    <font>
      <b/>
      <sz val="13"/>
      <color indexed="56"/>
      <name val="Arial"/>
      <family val="2"/>
    </font>
    <font>
      <sz val="12"/>
      <color indexed="8"/>
      <name val="Arial"/>
      <family val="2"/>
    </font>
    <font>
      <i/>
      <sz val="12"/>
      <color indexed="23"/>
      <name val="Arial"/>
      <family val="2"/>
    </font>
    <font>
      <sz val="14"/>
      <name val="Arial"/>
      <family val="2"/>
    </font>
    <font>
      <b/>
      <sz val="14"/>
      <name val="Helv"/>
    </font>
    <font>
      <sz val="12"/>
      <color indexed="17"/>
      <name val="Arial"/>
      <family val="2"/>
    </font>
    <font>
      <b/>
      <sz val="12"/>
      <color indexed="63"/>
      <name val="Arial"/>
      <family val="2"/>
    </font>
    <font>
      <b/>
      <sz val="9"/>
      <name val="Times New Roman"/>
      <family val="1"/>
    </font>
    <font>
      <sz val="12"/>
      <color indexed="20"/>
      <name val="Arial"/>
      <family val="2"/>
    </font>
    <font>
      <sz val="12"/>
      <color indexed="60"/>
      <name val="Arial"/>
      <family val="2"/>
    </font>
    <font>
      <b/>
      <sz val="12"/>
      <color indexed="9"/>
      <name val="Arial"/>
      <family val="2"/>
    </font>
    <font>
      <sz val="9"/>
      <name val="Times New Roman"/>
      <family val="1"/>
    </font>
    <font>
      <b/>
      <sz val="12"/>
      <color indexed="12"/>
      <name val="Arial"/>
      <family val="2"/>
    </font>
    <font>
      <b/>
      <sz val="12"/>
      <color indexed="52"/>
      <name val="Arial"/>
      <family val="2"/>
    </font>
    <font>
      <sz val="12"/>
      <color indexed="9"/>
      <name val="Arial"/>
      <family val="2"/>
    </font>
    <font>
      <sz val="10"/>
      <name val="Arial Cyr"/>
      <charset val="204"/>
    </font>
    <font>
      <sz val="12"/>
      <color indexed="52"/>
      <name val="Arial"/>
      <family val="2"/>
    </font>
    <font>
      <b/>
      <sz val="10"/>
      <color indexed="8"/>
      <name val="Arial"/>
      <family val="2"/>
    </font>
    <font>
      <b/>
      <sz val="15"/>
      <color indexed="56"/>
      <name val="Arial"/>
      <family val="2"/>
    </font>
    <font>
      <b/>
      <sz val="11"/>
      <color indexed="56"/>
      <name val="Arial"/>
      <family val="2"/>
    </font>
    <font>
      <sz val="10"/>
      <name val="Times New Roman"/>
      <family val="1"/>
    </font>
    <font>
      <u/>
      <sz val="10"/>
      <color theme="10"/>
      <name val="Arial"/>
      <family val="2"/>
    </font>
    <font>
      <sz val="10"/>
      <color theme="1"/>
      <name val="Arial"/>
      <family val="2"/>
    </font>
    <font>
      <u/>
      <sz val="11"/>
      <color theme="10"/>
      <name val="Calibri"/>
      <family val="2"/>
    </font>
    <font>
      <u/>
      <sz val="11"/>
      <color theme="10"/>
      <name val="Calibri"/>
      <family val="2"/>
      <scheme val="minor"/>
    </font>
    <font>
      <sz val="11"/>
      <color theme="0"/>
      <name val="Arial"/>
      <family val="2"/>
    </font>
    <font>
      <sz val="11"/>
      <color rgb="FF007078"/>
      <name val="Arial"/>
      <family val="2"/>
    </font>
    <font>
      <b/>
      <sz val="16"/>
      <color theme="1"/>
      <name val="Arial"/>
      <family val="2"/>
    </font>
    <font>
      <vertAlign val="subscript"/>
      <sz val="11"/>
      <color theme="1"/>
      <name val="Arial"/>
      <family val="2"/>
    </font>
    <font>
      <b/>
      <vertAlign val="subscript"/>
      <sz val="11"/>
      <color theme="0"/>
      <name val="Arial"/>
      <family val="2"/>
    </font>
    <font>
      <b/>
      <vertAlign val="superscript"/>
      <sz val="11"/>
      <color theme="0"/>
      <name val="Arial"/>
      <family val="2"/>
    </font>
    <font>
      <sz val="11"/>
      <color rgb="FF002060"/>
      <name val="Arial"/>
      <family val="2"/>
    </font>
    <font>
      <sz val="18"/>
      <color theme="3"/>
      <name val="Calibri Light"/>
      <family val="2"/>
      <scheme val="major"/>
    </font>
    <font>
      <sz val="11"/>
      <color rgb="FF006100"/>
      <name val="Calibri"/>
      <family val="2"/>
      <scheme val="minor"/>
    </font>
    <font>
      <sz val="11"/>
      <color rgb="FF9C0006"/>
      <name val="Calibri"/>
      <family val="2"/>
      <scheme val="minor"/>
    </font>
    <font>
      <sz val="11"/>
      <color rgb="FF9C5700"/>
      <name val="Calibri"/>
      <family val="2"/>
      <scheme val="minor"/>
    </font>
    <font>
      <b/>
      <sz val="11"/>
      <color theme="0"/>
      <name val="Calibri"/>
      <family val="2"/>
      <scheme val="minor"/>
    </font>
    <font>
      <sz val="11"/>
      <color theme="0"/>
      <name val="Calibri"/>
      <family val="2"/>
      <scheme val="minor"/>
    </font>
    <font>
      <u/>
      <sz val="11"/>
      <color indexed="12"/>
      <name val="Calibri"/>
      <family val="2"/>
    </font>
    <font>
      <sz val="10"/>
      <color theme="9" tint="-0.499984740745262"/>
      <name val="Arial"/>
      <family val="2"/>
    </font>
    <font>
      <i/>
      <sz val="10"/>
      <color rgb="FFFF0000"/>
      <name val="Arial"/>
      <family val="2"/>
    </font>
    <font>
      <u/>
      <sz val="10"/>
      <color theme="11"/>
      <name val="Arial"/>
      <family val="2"/>
    </font>
    <font>
      <b/>
      <sz val="10"/>
      <color theme="0"/>
      <name val="Arial"/>
      <family val="2"/>
    </font>
  </fonts>
  <fills count="72">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indexed="11"/>
        <bgColor indexed="64"/>
      </patternFill>
    </fill>
    <fill>
      <patternFill patternType="solid">
        <fgColor indexed="29"/>
        <bgColor indexed="64"/>
      </patternFill>
    </fill>
    <fill>
      <patternFill patternType="solid">
        <fgColor indexed="31"/>
        <bgColor indexed="64"/>
      </patternFill>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26"/>
        <bgColor indexed="64"/>
      </patternFill>
    </fill>
    <fill>
      <patternFill patternType="solid">
        <fgColor indexed="30"/>
        <bgColor indexed="64"/>
      </patternFill>
    </fill>
    <fill>
      <patternFill patternType="solid">
        <fgColor indexed="27"/>
        <bgColor indexed="64"/>
      </patternFill>
    </fill>
    <fill>
      <patternFill patternType="solid">
        <fgColor indexed="43"/>
        <bgColor indexed="64"/>
      </patternFill>
    </fill>
    <fill>
      <patternFill patternType="solid">
        <fgColor indexed="36"/>
        <bgColor indexed="64"/>
      </patternFill>
    </fill>
    <fill>
      <patternFill patternType="solid">
        <fgColor indexed="49"/>
        <bgColor indexed="64"/>
      </patternFill>
    </fill>
    <fill>
      <patternFill patternType="solid">
        <fgColor indexed="46"/>
        <bgColor indexed="64"/>
      </patternFill>
    </fill>
    <fill>
      <patternFill patternType="solid">
        <fgColor indexed="57"/>
        <bgColor indexed="64"/>
      </patternFill>
    </fill>
    <fill>
      <patternFill patternType="solid">
        <fgColor indexed="62"/>
        <bgColor indexed="64"/>
      </patternFill>
    </fill>
    <fill>
      <patternFill patternType="solid">
        <fgColor indexed="42"/>
        <bgColor indexed="64"/>
      </patternFill>
    </fill>
    <fill>
      <patternFill patternType="solid">
        <fgColor indexed="51"/>
        <bgColor indexed="64"/>
      </patternFill>
    </fill>
    <fill>
      <patternFill patternType="solid">
        <fgColor indexed="10"/>
        <bgColor indexed="64"/>
      </patternFill>
    </fill>
    <fill>
      <patternFill patternType="solid">
        <fgColor indexed="45"/>
        <bgColor indexed="64"/>
      </patternFill>
    </fill>
    <fill>
      <patternFill patternType="solid">
        <fgColor indexed="53"/>
        <bgColor indexed="64"/>
      </patternFill>
    </fill>
    <fill>
      <patternFill patternType="solid">
        <fgColor indexed="52"/>
        <bgColor indexed="64"/>
      </patternFill>
    </fill>
    <fill>
      <patternFill patternType="gray0625">
        <fgColor indexed="9"/>
      </patternFill>
    </fill>
    <fill>
      <patternFill patternType="lightGray">
        <fgColor indexed="9"/>
      </patternFill>
    </fill>
    <fill>
      <patternFill patternType="solid">
        <fgColor rgb="FF007078"/>
        <bgColor indexed="64"/>
      </patternFill>
    </fill>
    <fill>
      <patternFill patternType="solid">
        <fgColor rgb="FF00C18B"/>
        <bgColor indexed="64"/>
      </patternFill>
    </fill>
    <fill>
      <patternFill patternType="solid">
        <fgColor rgb="FFCFDB00"/>
        <bgColor indexed="64"/>
      </patternFill>
    </fill>
    <fill>
      <patternFill patternType="solid">
        <fgColor theme="0"/>
        <bgColor indexed="64"/>
      </patternFill>
    </fill>
    <fill>
      <patternFill patternType="solid">
        <fgColor theme="2"/>
        <bgColor indexed="64"/>
      </patternFill>
    </fill>
    <fill>
      <patternFill patternType="solid">
        <fgColor theme="1" tint="4.9989318521683403E-2"/>
        <bgColor indexed="64"/>
      </patternFill>
    </fill>
    <fill>
      <patternFill patternType="solid">
        <fgColor theme="0"/>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99FF"/>
        <bgColor indexed="64"/>
      </patternFill>
    </fill>
    <fill>
      <patternFill patternType="solid">
        <fgColor theme="7" tint="0.39997558519241921"/>
        <bgColor rgb="FF000000"/>
      </patternFill>
    </fill>
    <fill>
      <patternFill patternType="solid">
        <fgColor rgb="FFFFFF99"/>
        <bgColor indexed="64"/>
      </patternFill>
    </fill>
    <fill>
      <patternFill patternType="solid">
        <fgColor rgb="FFFFFF99"/>
        <bgColor rgb="FF000000"/>
      </patternFill>
    </fill>
    <fill>
      <patternFill patternType="solid">
        <fgColor rgb="FF92D050"/>
        <bgColor indexed="64"/>
      </patternFill>
    </fill>
    <fill>
      <patternFill patternType="solid">
        <fgColor rgb="FF002060"/>
        <bgColor indexed="64"/>
      </patternFill>
    </fill>
    <fill>
      <patternFill patternType="solid">
        <fgColor theme="4" tint="0.79998168889431442"/>
        <bgColor rgb="FF000000"/>
      </patternFill>
    </fill>
    <fill>
      <patternFill patternType="solid">
        <fgColor rgb="FFFF0000"/>
        <bgColor indexed="64"/>
      </patternFill>
    </fill>
  </fills>
  <borders count="7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style="thin">
        <color indexed="64"/>
      </left>
      <right style="medium">
        <color indexed="64"/>
      </right>
      <top/>
      <bottom style="thin">
        <color indexed="64"/>
      </bottom>
      <diagonal/>
    </border>
    <border>
      <left/>
      <right/>
      <top style="thick">
        <color rgb="FF00C18B"/>
      </top>
      <bottom/>
      <diagonal/>
    </border>
    <border>
      <left/>
      <right/>
      <top/>
      <bottom style="thick">
        <color rgb="FF007078"/>
      </bottom>
      <diagonal/>
    </border>
    <border>
      <left/>
      <right/>
      <top/>
      <bottom style="medium">
        <color rgb="FF007078"/>
      </bottom>
      <diagonal/>
    </border>
    <border>
      <left/>
      <right/>
      <top/>
      <bottom style="medium">
        <color rgb="FF00C18B"/>
      </bottom>
      <diagonal/>
    </border>
    <border>
      <left/>
      <right/>
      <top style="medium">
        <color rgb="FF00C18B"/>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rgb="FF007078"/>
      </bottom>
      <diagonal/>
    </border>
    <border>
      <left style="thin">
        <color indexed="64"/>
      </left>
      <right style="medium">
        <color indexed="64"/>
      </right>
      <top style="thin">
        <color indexed="64"/>
      </top>
      <bottom style="double">
        <color indexed="64"/>
      </bottom>
      <diagonal/>
    </border>
    <border>
      <left/>
      <right/>
      <top style="thin">
        <color indexed="64"/>
      </top>
      <bottom/>
      <diagonal/>
    </border>
    <border>
      <left style="thin">
        <color rgb="FF053D5F"/>
      </left>
      <right style="thin">
        <color rgb="FF053D5F"/>
      </right>
      <top style="thin">
        <color rgb="FF053D5F"/>
      </top>
      <bottom style="thin">
        <color rgb="FF053D5F"/>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007078"/>
      </left>
      <right/>
      <top style="thin">
        <color indexed="64"/>
      </top>
      <bottom style="medium">
        <color rgb="FF007078"/>
      </bottom>
      <diagonal/>
    </border>
    <border>
      <left/>
      <right style="thin">
        <color indexed="64"/>
      </right>
      <top style="thin">
        <color indexed="64"/>
      </top>
      <bottom style="medium">
        <color rgb="FF007078"/>
      </bottom>
      <diagonal/>
    </border>
  </borders>
  <cellStyleXfs count="329">
    <xf numFmtId="0" fontId="0" fillId="0" borderId="0"/>
    <xf numFmtId="0" fontId="3" fillId="0" borderId="0" applyNumberFormat="0" applyFill="0" applyBorder="0" applyAlignment="0" applyProtection="0"/>
    <xf numFmtId="0" fontId="5" fillId="0" borderId="0"/>
    <xf numFmtId="0" fontId="6" fillId="0" borderId="0"/>
    <xf numFmtId="44" fontId="5" fillId="0" borderId="0" applyFont="0" applyFill="0" applyBorder="0" applyAlignment="0" applyProtection="0"/>
    <xf numFmtId="0" fontId="5" fillId="0" borderId="0"/>
    <xf numFmtId="43" fontId="2" fillId="0" borderId="0" applyFont="0" applyFill="0" applyBorder="0" applyAlignment="0" applyProtection="0"/>
    <xf numFmtId="9" fontId="2" fillId="0" borderId="0" applyFont="0" applyFill="0" applyBorder="0" applyAlignment="0" applyProtection="0"/>
    <xf numFmtId="164" fontId="5" fillId="0" borderId="0" applyFont="0" applyFill="0" applyBorder="0" applyAlignment="0" applyProtection="0">
      <alignment horizontal="left"/>
    </xf>
    <xf numFmtId="0" fontId="36" fillId="4" borderId="0" applyNumberFormat="0" applyBorder="0" applyAlignment="0" applyProtection="0"/>
    <xf numFmtId="0" fontId="36" fillId="5" borderId="0" applyNumberFormat="0" applyBorder="0" applyAlignment="0" applyProtection="0"/>
    <xf numFmtId="0" fontId="6" fillId="0" borderId="0"/>
    <xf numFmtId="43" fontId="5" fillId="0" borderId="0" applyFont="0" applyFill="0" applyBorder="0" applyAlignment="0" applyProtection="0"/>
    <xf numFmtId="49" fontId="5" fillId="0" borderId="0" applyFill="0" applyBorder="0" applyProtection="0">
      <alignment horizontal="left"/>
    </xf>
    <xf numFmtId="0" fontId="23" fillId="7" borderId="0" applyNumberFormat="0" applyBorder="0" applyAlignment="0" applyProtection="0"/>
    <xf numFmtId="0" fontId="35" fillId="8" borderId="22" applyNumberFormat="0" applyAlignment="0" applyProtection="0"/>
    <xf numFmtId="169" fontId="5" fillId="0" borderId="0" applyFont="0" applyFill="0" applyBorder="0" applyAlignment="0" applyProtection="0"/>
    <xf numFmtId="0" fontId="23" fillId="7"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1" fillId="10" borderId="22" applyNumberFormat="0" applyAlignment="0" applyProtection="0"/>
    <xf numFmtId="0" fontId="5" fillId="10" borderId="0" applyNumberFormat="0" applyFont="0" applyBorder="0" applyAlignment="0"/>
    <xf numFmtId="0" fontId="23" fillId="11" borderId="24" applyNumberFormat="0" applyFont="0" applyAlignment="0" applyProtection="0"/>
    <xf numFmtId="0" fontId="36" fillId="12" borderId="0" applyNumberFormat="0" applyBorder="0" applyAlignment="0" applyProtection="0"/>
    <xf numFmtId="0" fontId="5" fillId="0" borderId="0"/>
    <xf numFmtId="0" fontId="23" fillId="13" borderId="0" applyNumberFormat="0" applyBorder="0" applyAlignment="0" applyProtection="0"/>
    <xf numFmtId="174" fontId="5" fillId="0" borderId="0" applyFont="0" applyFill="0" applyBorder="0" applyAlignment="0" applyProtection="0">
      <alignment horizontal="left"/>
    </xf>
    <xf numFmtId="0" fontId="33" fillId="9" borderId="2"/>
    <xf numFmtId="0" fontId="2" fillId="0" borderId="0"/>
    <xf numFmtId="0" fontId="23" fillId="11" borderId="24" applyNumberFormat="0" applyFont="0" applyAlignment="0" applyProtection="0"/>
    <xf numFmtId="0" fontId="6" fillId="0" borderId="0"/>
    <xf numFmtId="173" fontId="5" fillId="0" borderId="0" applyFont="0" applyFill="0" applyBorder="0" applyAlignment="0" applyProtection="0">
      <alignment horizontal="left"/>
    </xf>
    <xf numFmtId="0" fontId="31" fillId="14" borderId="0" applyNumberFormat="0" applyBorder="0" applyAlignment="0" applyProtection="0"/>
    <xf numFmtId="0" fontId="36" fillId="5" borderId="0" applyNumberFormat="0" applyBorder="0" applyAlignment="0" applyProtection="0"/>
    <xf numFmtId="0" fontId="23" fillId="10" borderId="0" applyNumberFormat="0" applyBorder="0" applyAlignment="0" applyProtection="0"/>
    <xf numFmtId="0" fontId="23" fillId="6" borderId="0" applyNumberFormat="0" applyBorder="0" applyAlignment="0" applyProtection="0"/>
    <xf numFmtId="0" fontId="35" fillId="8" borderId="22" applyNumberFormat="0" applyAlignment="0" applyProtection="0"/>
    <xf numFmtId="0" fontId="33" fillId="9" borderId="2"/>
    <xf numFmtId="0" fontId="23" fillId="7" borderId="0" applyNumberFormat="0" applyBorder="0" applyAlignment="0" applyProtection="0"/>
    <xf numFmtId="9" fontId="5" fillId="0" borderId="0" applyFont="0" applyFill="0" applyBorder="0" applyAlignment="0" applyProtection="0"/>
    <xf numFmtId="0" fontId="21" fillId="10" borderId="22" applyNumberFormat="0" applyAlignment="0" applyProtection="0"/>
    <xf numFmtId="0" fontId="36" fillId="15" borderId="0" applyNumberFormat="0" applyBorder="0" applyAlignment="0" applyProtection="0"/>
    <xf numFmtId="0" fontId="43" fillId="0" borderId="0" applyNumberFormat="0" applyFill="0" applyBorder="0" applyAlignment="0" applyProtection="0">
      <alignment vertical="top"/>
      <protection locked="0"/>
    </xf>
    <xf numFmtId="168" fontId="42" fillId="0" borderId="0" applyFill="0" applyBorder="0" applyAlignment="0" applyProtection="0"/>
    <xf numFmtId="0" fontId="2" fillId="0" borderId="0"/>
    <xf numFmtId="0" fontId="36" fillId="16" borderId="0" applyNumberFormat="0" applyBorder="0" applyAlignment="0" applyProtection="0"/>
    <xf numFmtId="0" fontId="23" fillId="11" borderId="24" applyNumberFormat="0" applyFont="0" applyAlignment="0" applyProtection="0"/>
    <xf numFmtId="0" fontId="35" fillId="8" borderId="22" applyNumberFormat="0" applyAlignment="0" applyProtection="0"/>
    <xf numFmtId="0" fontId="5" fillId="0" borderId="0"/>
    <xf numFmtId="0" fontId="28" fillId="8" borderId="25" applyNumberFormat="0" applyAlignment="0" applyProtection="0"/>
    <xf numFmtId="43" fontId="5" fillId="0" borderId="0" applyFont="0" applyFill="0" applyBorder="0" applyAlignment="0" applyProtection="0"/>
    <xf numFmtId="0" fontId="41" fillId="0" borderId="26" applyNumberFormat="0" applyFill="0" applyAlignment="0" applyProtection="0"/>
    <xf numFmtId="0" fontId="6" fillId="0" borderId="0"/>
    <xf numFmtId="0" fontId="35" fillId="8" borderId="22" applyNumberFormat="0" applyAlignment="0" applyProtection="0"/>
    <xf numFmtId="9" fontId="2" fillId="0" borderId="0" applyFont="0" applyFill="0" applyBorder="0" applyAlignment="0" applyProtection="0"/>
    <xf numFmtId="0" fontId="21" fillId="10" borderId="22" applyNumberFormat="0" applyAlignment="0" applyProtection="0"/>
    <xf numFmtId="0" fontId="36" fillId="12" borderId="0" applyNumberFormat="0" applyBorder="0" applyAlignment="0" applyProtection="0"/>
    <xf numFmtId="0" fontId="36" fillId="16" borderId="0" applyNumberFormat="0" applyBorder="0" applyAlignment="0" applyProtection="0"/>
    <xf numFmtId="9" fontId="5" fillId="0" borderId="0" applyFont="0" applyFill="0" applyBorder="0" applyAlignment="0" applyProtection="0"/>
    <xf numFmtId="0" fontId="35" fillId="8" borderId="22" applyNumberFormat="0" applyAlignment="0" applyProtection="0"/>
    <xf numFmtId="176" fontId="42" fillId="0" borderId="0" applyFont="0" applyFill="0" applyBorder="0" applyAlignment="0" applyProtection="0"/>
    <xf numFmtId="170" fontId="5" fillId="0" borderId="0" applyFont="0" applyFill="0" applyBorder="0" applyAlignment="0" applyProtection="0"/>
    <xf numFmtId="0" fontId="21" fillId="10" borderId="22" applyNumberFormat="0" applyAlignment="0" applyProtection="0"/>
    <xf numFmtId="0" fontId="2" fillId="0" borderId="0"/>
    <xf numFmtId="0" fontId="23" fillId="17" borderId="0" applyNumberFormat="0" applyBorder="0" applyAlignment="0" applyProtection="0"/>
    <xf numFmtId="4" fontId="29" fillId="0" borderId="27" applyFill="0" applyBorder="0" applyProtection="0">
      <alignment horizontal="right" vertical="center"/>
    </xf>
    <xf numFmtId="0" fontId="32" fillId="9" borderId="23" applyNumberFormat="0" applyAlignment="0" applyProtection="0"/>
    <xf numFmtId="0" fontId="21" fillId="10" borderId="22" applyNumberFormat="0" applyAlignment="0" applyProtection="0"/>
    <xf numFmtId="43" fontId="6" fillId="0" borderId="0" applyFont="0" applyFill="0" applyBorder="0" applyAlignment="0" applyProtection="0"/>
    <xf numFmtId="0" fontId="6" fillId="0" borderId="0"/>
    <xf numFmtId="0" fontId="18" fillId="0" borderId="28" applyNumberFormat="0" applyFill="0" applyAlignment="0" applyProtection="0"/>
    <xf numFmtId="0" fontId="23" fillId="10" borderId="0" applyNumberFormat="0" applyBorder="0" applyAlignment="0" applyProtection="0"/>
    <xf numFmtId="0" fontId="23" fillId="17" borderId="0" applyNumberFormat="0" applyBorder="0" applyAlignment="0" applyProtection="0"/>
    <xf numFmtId="0" fontId="24" fillId="0" borderId="0" applyNumberFormat="0" applyFill="0" applyBorder="0" applyAlignment="0" applyProtection="0"/>
    <xf numFmtId="0" fontId="32" fillId="9" borderId="23" applyNumberFormat="0" applyAlignment="0" applyProtection="0"/>
    <xf numFmtId="0" fontId="36" fillId="4" borderId="0" applyNumberFormat="0" applyBorder="0" applyAlignment="0" applyProtection="0"/>
    <xf numFmtId="0" fontId="34" fillId="14" borderId="0">
      <alignment horizontal="left" vertical="center" indent="1"/>
    </xf>
    <xf numFmtId="0" fontId="36" fillId="15" borderId="0" applyNumberFormat="0" applyBorder="0" applyAlignment="0" applyProtection="0"/>
    <xf numFmtId="0" fontId="23" fillId="6" borderId="0" applyNumberFormat="0" applyBorder="0" applyAlignment="0" applyProtection="0"/>
    <xf numFmtId="4" fontId="33" fillId="13" borderId="2">
      <alignment horizontal="right" vertical="center"/>
    </xf>
    <xf numFmtId="0" fontId="36" fillId="18" borderId="0" applyNumberFormat="0" applyBorder="0" applyAlignment="0" applyProtection="0"/>
    <xf numFmtId="0" fontId="17" fillId="0" borderId="0"/>
    <xf numFmtId="0" fontId="12" fillId="0" borderId="0">
      <alignment horizontal="left"/>
    </xf>
    <xf numFmtId="0" fontId="28" fillId="8" borderId="25" applyNumberFormat="0" applyAlignment="0" applyProtection="0"/>
    <xf numFmtId="0" fontId="21" fillId="10" borderId="22" applyNumberFormat="0" applyAlignment="0" applyProtection="0"/>
    <xf numFmtId="0" fontId="6" fillId="0" borderId="0"/>
    <xf numFmtId="0" fontId="6" fillId="0" borderId="0"/>
    <xf numFmtId="0" fontId="36" fillId="16" borderId="0" applyNumberFormat="0" applyBorder="0" applyAlignment="0" applyProtection="0"/>
    <xf numFmtId="9" fontId="6" fillId="0" borderId="0" applyFont="0" applyFill="0" applyBorder="0" applyAlignment="0" applyProtection="0"/>
    <xf numFmtId="0" fontId="21" fillId="10" borderId="22" applyNumberFormat="0" applyAlignment="0" applyProtection="0"/>
    <xf numFmtId="0" fontId="41" fillId="0" borderId="0" applyNumberFormat="0" applyFill="0" applyBorder="0" applyAlignment="0" applyProtection="0"/>
    <xf numFmtId="0" fontId="36" fillId="16" borderId="0" applyNumberFormat="0" applyBorder="0" applyAlignment="0" applyProtection="0"/>
    <xf numFmtId="0" fontId="23" fillId="13" borderId="0" applyNumberFormat="0" applyBorder="0" applyAlignment="0" applyProtection="0"/>
    <xf numFmtId="0" fontId="36" fillId="19" borderId="0" applyNumberFormat="0" applyBorder="0" applyAlignment="0" applyProtection="0"/>
    <xf numFmtId="0" fontId="23" fillId="7" borderId="0" applyNumberFormat="0" applyBorder="0" applyAlignment="0" applyProtection="0"/>
    <xf numFmtId="0" fontId="23" fillId="11" borderId="24" applyNumberFormat="0" applyFont="0" applyAlignment="0" applyProtection="0"/>
    <xf numFmtId="0" fontId="6" fillId="0" borderId="0"/>
    <xf numFmtId="44" fontId="5" fillId="0" borderId="0" applyFont="0" applyFill="0" applyBorder="0" applyAlignment="0" applyProtection="0"/>
    <xf numFmtId="0" fontId="36" fillId="18" borderId="0" applyNumberFormat="0" applyBorder="0" applyAlignment="0" applyProtection="0"/>
    <xf numFmtId="41" fontId="5" fillId="0" borderId="0" applyFont="0" applyFill="0" applyBorder="0" applyAlignment="0" applyProtection="0">
      <alignment wrapText="1"/>
    </xf>
    <xf numFmtId="0" fontId="5" fillId="0" borderId="0"/>
    <xf numFmtId="0" fontId="36" fillId="18" borderId="0" applyNumberFormat="0" applyBorder="0" applyAlignment="0" applyProtection="0"/>
    <xf numFmtId="43" fontId="6" fillId="0" borderId="0" applyFont="0" applyFill="0" applyBorder="0" applyAlignment="0" applyProtection="0"/>
    <xf numFmtId="0" fontId="36" fillId="15" borderId="0" applyNumberFormat="0" applyBorder="0" applyAlignment="0" applyProtection="0"/>
    <xf numFmtId="0" fontId="23" fillId="21" borderId="0" applyNumberFormat="0" applyBorder="0" applyAlignment="0" applyProtection="0"/>
    <xf numFmtId="0" fontId="23" fillId="7" borderId="0" applyNumberFormat="0" applyBorder="0" applyAlignment="0" applyProtection="0"/>
    <xf numFmtId="0" fontId="36" fillId="4" borderId="0" applyNumberFormat="0" applyBorder="0" applyAlignment="0" applyProtection="0"/>
    <xf numFmtId="0" fontId="36" fillId="22" borderId="0" applyNumberFormat="0" applyBorder="0" applyAlignment="0" applyProtection="0"/>
    <xf numFmtId="0" fontId="6" fillId="0" borderId="0"/>
    <xf numFmtId="42" fontId="5" fillId="0" borderId="0" applyFont="0" applyFill="0" applyBorder="0" applyAlignment="0" applyProtection="0"/>
    <xf numFmtId="0" fontId="37" fillId="9" borderId="0" applyNumberFormat="0" applyFont="0" applyBorder="0" applyAlignment="0" applyProtection="0"/>
    <xf numFmtId="0" fontId="23" fillId="23" borderId="0" applyNumberFormat="0" applyBorder="0" applyAlignment="0" applyProtection="0"/>
    <xf numFmtId="0" fontId="6" fillId="0" borderId="0"/>
    <xf numFmtId="0" fontId="23" fillId="20" borderId="0" applyNumberFormat="0" applyBorder="0" applyAlignment="0" applyProtection="0"/>
    <xf numFmtId="0" fontId="2" fillId="0" borderId="0"/>
    <xf numFmtId="0" fontId="35" fillId="8" borderId="22" applyNumberFormat="0" applyAlignment="0" applyProtection="0"/>
    <xf numFmtId="0" fontId="35" fillId="8" borderId="22" applyNumberFormat="0" applyAlignment="0" applyProtection="0"/>
    <xf numFmtId="0" fontId="36" fillId="24" borderId="0" applyNumberFormat="0" applyBorder="0" applyAlignment="0" applyProtection="0"/>
    <xf numFmtId="9" fontId="6" fillId="0" borderId="0" applyFont="0" applyFill="0" applyBorder="0" applyAlignment="0" applyProtection="0"/>
    <xf numFmtId="0" fontId="23" fillId="23" borderId="0" applyNumberFormat="0" applyBorder="0" applyAlignment="0" applyProtection="0"/>
    <xf numFmtId="0" fontId="36" fillId="4" borderId="0" applyNumberFormat="0" applyBorder="0" applyAlignment="0" applyProtection="0"/>
    <xf numFmtId="0" fontId="35" fillId="8" borderId="22" applyNumberFormat="0" applyAlignment="0" applyProtection="0"/>
    <xf numFmtId="0" fontId="37" fillId="0" borderId="0" applyNumberFormat="0" applyFont="0" applyFill="0" applyBorder="0" applyProtection="0">
      <alignment horizontal="left" vertical="center" indent="5"/>
    </xf>
    <xf numFmtId="43" fontId="5" fillId="0" borderId="0" applyFont="0" applyFill="0" applyBorder="0" applyAlignment="0" applyProtection="0">
      <alignment wrapText="1"/>
    </xf>
    <xf numFmtId="9" fontId="16" fillId="0" borderId="0" applyFont="0" applyFill="0" applyBorder="0" applyAlignment="0" applyProtection="0"/>
    <xf numFmtId="0" fontId="36" fillId="12" borderId="0" applyNumberFormat="0" applyBorder="0" applyAlignment="0" applyProtection="0"/>
    <xf numFmtId="0" fontId="36" fillId="5" borderId="0" applyNumberFormat="0" applyBorder="0" applyAlignment="0" applyProtection="0"/>
    <xf numFmtId="0" fontId="23" fillId="7" borderId="0" applyNumberFormat="0" applyBorder="0" applyAlignment="0" applyProtection="0"/>
    <xf numFmtId="0" fontId="31" fillId="14" borderId="0" applyNumberFormat="0" applyBorder="0" applyAlignment="0" applyProtection="0"/>
    <xf numFmtId="0" fontId="23" fillId="13" borderId="0" applyNumberFormat="0" applyBorder="0" applyAlignment="0" applyProtection="0"/>
    <xf numFmtId="0" fontId="26" fillId="0" borderId="0">
      <alignment horizontal="left" vertical="top"/>
    </xf>
    <xf numFmtId="0" fontId="5" fillId="0" borderId="0"/>
    <xf numFmtId="0" fontId="23" fillId="11" borderId="24" applyNumberFormat="0" applyFont="0" applyAlignment="0" applyProtection="0"/>
    <xf numFmtId="0" fontId="15" fillId="0" borderId="0">
      <alignment horizontal="left"/>
    </xf>
    <xf numFmtId="164" fontId="5" fillId="0" borderId="0" applyFont="0" applyFill="0" applyBorder="0" applyAlignment="0" applyProtection="0">
      <alignment horizontal="left"/>
    </xf>
    <xf numFmtId="9" fontId="2" fillId="0" borderId="0" applyFont="0" applyFill="0" applyBorder="0" applyAlignment="0" applyProtection="0"/>
    <xf numFmtId="0" fontId="6" fillId="0" borderId="0"/>
    <xf numFmtId="0" fontId="5" fillId="0" borderId="0"/>
    <xf numFmtId="0" fontId="35" fillId="8" borderId="22" applyNumberFormat="0" applyAlignment="0" applyProtection="0"/>
    <xf numFmtId="0" fontId="6" fillId="0" borderId="0"/>
    <xf numFmtId="0" fontId="23" fillId="7" borderId="0" applyNumberFormat="0" applyBorder="0" applyAlignment="0" applyProtection="0"/>
    <xf numFmtId="9" fontId="2" fillId="0" borderId="0" applyFont="0" applyFill="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6" fillId="15" borderId="0" applyNumberFormat="0" applyBorder="0" applyAlignment="0" applyProtection="0"/>
    <xf numFmtId="168" fontId="25" fillId="0" borderId="0">
      <alignment horizontal="left" vertical="center"/>
    </xf>
    <xf numFmtId="173" fontId="5" fillId="0" borderId="0" applyFont="0" applyFill="0" applyBorder="0" applyAlignment="0" applyProtection="0">
      <alignment horizontal="left"/>
    </xf>
    <xf numFmtId="4" fontId="33" fillId="0" borderId="0"/>
    <xf numFmtId="0" fontId="40" fillId="0" borderId="29" applyNumberFormat="0" applyFill="0" applyAlignment="0" applyProtection="0"/>
    <xf numFmtId="0" fontId="38" fillId="0" borderId="21" applyNumberFormat="0" applyFill="0" applyAlignment="0" applyProtection="0"/>
    <xf numFmtId="0" fontId="30" fillId="23" borderId="0" applyNumberFormat="0" applyBorder="0" applyAlignment="0" applyProtection="0"/>
    <xf numFmtId="0" fontId="23" fillId="10" borderId="0" applyNumberFormat="0" applyBorder="0" applyAlignment="0" applyProtection="0"/>
    <xf numFmtId="13" fontId="5" fillId="0" borderId="0" applyFont="0" applyFill="0" applyProtection="0"/>
    <xf numFmtId="0" fontId="11" fillId="0" borderId="0"/>
    <xf numFmtId="0" fontId="2" fillId="0" borderId="0"/>
    <xf numFmtId="0" fontId="36" fillId="16" borderId="0" applyNumberFormat="0" applyBorder="0" applyAlignment="0" applyProtection="0"/>
    <xf numFmtId="49" fontId="5" fillId="0" borderId="0" applyFill="0" applyBorder="0" applyProtection="0">
      <alignment horizontal="left"/>
    </xf>
    <xf numFmtId="0" fontId="36" fillId="22" borderId="0" applyNumberFormat="0" applyBorder="0" applyAlignment="0" applyProtection="0"/>
    <xf numFmtId="49" fontId="5" fillId="0" borderId="0" applyFill="0" applyBorder="0" applyProtection="0">
      <alignment horizontal="left"/>
    </xf>
    <xf numFmtId="0" fontId="23" fillId="11" borderId="24" applyNumberFormat="0" applyFont="0" applyAlignment="0" applyProtection="0"/>
    <xf numFmtId="0" fontId="5" fillId="0" borderId="0"/>
    <xf numFmtId="41" fontId="5" fillId="0" borderId="0" applyFont="0" applyFill="0" applyBorder="0" applyAlignment="0" applyProtection="0"/>
    <xf numFmtId="0" fontId="6" fillId="0" borderId="0"/>
    <xf numFmtId="0" fontId="23" fillId="5" borderId="0" applyNumberFormat="0" applyBorder="0" applyAlignment="0" applyProtection="0"/>
    <xf numFmtId="0" fontId="23" fillId="21" borderId="0" applyNumberFormat="0" applyBorder="0" applyAlignment="0" applyProtection="0"/>
    <xf numFmtId="0" fontId="23" fillId="7" borderId="0" applyNumberFormat="0" applyBorder="0" applyAlignment="0" applyProtection="0"/>
    <xf numFmtId="43" fontId="5" fillId="0" borderId="0" applyFont="0" applyFill="0" applyBorder="0" applyAlignment="0" applyProtection="0"/>
    <xf numFmtId="0" fontId="23" fillId="21" borderId="0" applyNumberFormat="0" applyBorder="0" applyAlignment="0" applyProtection="0"/>
    <xf numFmtId="9" fontId="44" fillId="0" borderId="0" applyFont="0" applyFill="0" applyBorder="0" applyAlignment="0" applyProtection="0"/>
    <xf numFmtId="0" fontId="13" fillId="0" borderId="0" applyNumberFormat="0" applyFill="0" applyBorder="0" applyAlignment="0" applyProtection="0"/>
    <xf numFmtId="0" fontId="2" fillId="0" borderId="0"/>
    <xf numFmtId="0" fontId="23" fillId="20" borderId="0" applyNumberFormat="0" applyBorder="0" applyAlignment="0" applyProtection="0"/>
    <xf numFmtId="9" fontId="5" fillId="0" borderId="0" applyFont="0" applyFill="0" applyBorder="0" applyAlignment="0" applyProtection="0"/>
    <xf numFmtId="0" fontId="23" fillId="4" borderId="0" applyNumberFormat="0" applyBorder="0" applyAlignment="0" applyProtection="0"/>
    <xf numFmtId="0" fontId="36" fillId="12" borderId="0" applyNumberFormat="0" applyBorder="0" applyAlignment="0" applyProtection="0"/>
    <xf numFmtId="0" fontId="30" fillId="23" borderId="0" applyNumberFormat="0" applyBorder="0" applyAlignment="0" applyProtection="0"/>
    <xf numFmtId="0" fontId="28" fillId="8" borderId="25" applyNumberFormat="0" applyAlignment="0" applyProtection="0"/>
    <xf numFmtId="167" fontId="5" fillId="0" borderId="0" applyFont="0" applyFill="0" applyBorder="0" applyAlignment="0" applyProtection="0"/>
    <xf numFmtId="0" fontId="30" fillId="23" borderId="0" applyNumberFormat="0" applyBorder="0" applyAlignment="0" applyProtection="0"/>
    <xf numFmtId="0" fontId="23" fillId="17" borderId="0" applyNumberFormat="0" applyBorder="0" applyAlignment="0" applyProtection="0"/>
    <xf numFmtId="0" fontId="28" fillId="8" borderId="25" applyNumberFormat="0" applyAlignment="0" applyProtection="0"/>
    <xf numFmtId="167" fontId="5" fillId="0" borderId="0" applyFont="0" applyFill="0" applyBorder="0" applyAlignment="0" applyProtection="0"/>
    <xf numFmtId="174" fontId="5" fillId="0" borderId="0" applyFont="0" applyFill="0" applyBorder="0" applyAlignment="0" applyProtection="0">
      <alignment horizontal="left"/>
    </xf>
    <xf numFmtId="164" fontId="5" fillId="0" borderId="0" applyFont="0" applyFill="0" applyBorder="0" applyAlignment="0" applyProtection="0">
      <alignment horizontal="left"/>
    </xf>
    <xf numFmtId="0" fontId="28" fillId="8" borderId="25" applyNumberFormat="0" applyAlignment="0" applyProtection="0"/>
    <xf numFmtId="0" fontId="36" fillId="5" borderId="0" applyNumberFormat="0" applyBorder="0" applyAlignment="0" applyProtection="0"/>
    <xf numFmtId="0" fontId="2" fillId="0" borderId="0"/>
    <xf numFmtId="43" fontId="5" fillId="0" borderId="0" applyFont="0" applyFill="0" applyBorder="0" applyAlignment="0" applyProtection="0"/>
    <xf numFmtId="0" fontId="23" fillId="23" borderId="0" applyNumberFormat="0" applyBorder="0" applyAlignment="0" applyProtection="0"/>
    <xf numFmtId="0" fontId="28" fillId="8" borderId="25" applyNumberFormat="0" applyAlignment="0" applyProtection="0"/>
    <xf numFmtId="175" fontId="39" fillId="26" borderId="0" applyNumberFormat="0" applyBorder="0">
      <protection locked="0"/>
    </xf>
    <xf numFmtId="0" fontId="27" fillId="20" borderId="0" applyNumberFormat="0" applyBorder="0" applyAlignment="0" applyProtection="0"/>
    <xf numFmtId="171" fontId="5" fillId="0" borderId="0" applyFont="0" applyFill="0" applyBorder="0" applyAlignment="0" applyProtection="0"/>
    <xf numFmtId="0" fontId="36" fillId="16" borderId="0" applyNumberFormat="0" applyBorder="0" applyAlignment="0" applyProtection="0"/>
    <xf numFmtId="177" fontId="42" fillId="0" borderId="0" applyFont="0" applyFill="0" applyBorder="0" applyAlignment="0" applyProtection="0"/>
    <xf numFmtId="0" fontId="23" fillId="6" borderId="0" applyNumberFormat="0" applyBorder="0" applyAlignment="0" applyProtection="0"/>
    <xf numFmtId="0" fontId="6" fillId="0" borderId="0"/>
    <xf numFmtId="0" fontId="6" fillId="0" borderId="0"/>
    <xf numFmtId="0" fontId="27" fillId="20" borderId="0" applyNumberFormat="0" applyBorder="0" applyAlignment="0" applyProtection="0"/>
    <xf numFmtId="0" fontId="36" fillId="15" borderId="0" applyNumberFormat="0" applyBorder="0" applyAlignment="0" applyProtection="0"/>
    <xf numFmtId="0" fontId="23" fillId="17" borderId="0" applyNumberFormat="0" applyBorder="0" applyAlignment="0" applyProtection="0"/>
    <xf numFmtId="0" fontId="36" fillId="25" borderId="0" applyNumberFormat="0" applyBorder="0" applyAlignment="0" applyProtection="0"/>
    <xf numFmtId="0" fontId="23" fillId="5" borderId="0" applyNumberFormat="0" applyBorder="0" applyAlignment="0" applyProtection="0"/>
    <xf numFmtId="4" fontId="33" fillId="0" borderId="11">
      <alignment horizontal="right" vertical="center"/>
    </xf>
    <xf numFmtId="0" fontId="6" fillId="0" borderId="0"/>
    <xf numFmtId="0" fontId="23" fillId="17" borderId="0" applyNumberFormat="0" applyBorder="0" applyAlignment="0" applyProtection="0"/>
    <xf numFmtId="0" fontId="28" fillId="8" borderId="25" applyNumberFormat="0" applyAlignment="0" applyProtection="0"/>
    <xf numFmtId="0" fontId="36" fillId="18" borderId="0" applyNumberFormat="0" applyBorder="0" applyAlignment="0" applyProtection="0"/>
    <xf numFmtId="0" fontId="36" fillId="16" borderId="0" applyNumberFormat="0" applyBorder="0" applyAlignment="0" applyProtection="0"/>
    <xf numFmtId="172" fontId="5" fillId="0" borderId="0" applyFont="0" applyFill="0" applyBorder="0" applyAlignment="0" applyProtection="0"/>
    <xf numFmtId="0" fontId="23" fillId="23" borderId="0" applyNumberFormat="0" applyBorder="0" applyAlignment="0" applyProtection="0"/>
    <xf numFmtId="9" fontId="2" fillId="0" borderId="0" applyFont="0" applyFill="0" applyBorder="0" applyAlignment="0" applyProtection="0"/>
    <xf numFmtId="0" fontId="35" fillId="8" borderId="22" applyNumberFormat="0" applyAlignment="0" applyProtection="0"/>
    <xf numFmtId="43" fontId="5" fillId="0" borderId="0" applyFont="0" applyFill="0" applyBorder="0" applyAlignment="0" applyProtection="0"/>
    <xf numFmtId="0" fontId="5" fillId="0" borderId="0"/>
    <xf numFmtId="0" fontId="23" fillId="4" borderId="0" applyNumberFormat="0" applyBorder="0" applyAlignment="0" applyProtection="0"/>
    <xf numFmtId="9" fontId="2" fillId="0" borderId="0" applyFont="0" applyFill="0" applyBorder="0" applyAlignment="0" applyProtection="0"/>
    <xf numFmtId="0" fontId="5" fillId="14" borderId="0" applyNumberFormat="0" applyFont="0" applyBorder="0" applyAlignment="0"/>
    <xf numFmtId="0" fontId="27" fillId="20" borderId="0" applyNumberFormat="0" applyBorder="0" applyAlignment="0" applyProtection="0"/>
    <xf numFmtId="0" fontId="31" fillId="14" borderId="0" applyNumberFormat="0" applyBorder="0" applyAlignment="0" applyProtection="0"/>
    <xf numFmtId="173" fontId="5" fillId="0" borderId="0" applyFont="0" applyFill="0" applyBorder="0" applyAlignment="0" applyProtection="0">
      <alignment horizontal="left"/>
    </xf>
    <xf numFmtId="0" fontId="5" fillId="0" borderId="0"/>
    <xf numFmtId="0" fontId="35" fillId="8" borderId="22" applyNumberFormat="0" applyAlignment="0" applyProtection="0"/>
    <xf numFmtId="174" fontId="5" fillId="0" borderId="0" applyFont="0" applyFill="0" applyBorder="0" applyAlignment="0" applyProtection="0">
      <alignment horizontal="left"/>
    </xf>
    <xf numFmtId="0" fontId="23" fillId="6" borderId="0" applyNumberFormat="0" applyBorder="0" applyAlignment="0" applyProtection="0"/>
    <xf numFmtId="0" fontId="32" fillId="9" borderId="23" applyNumberFormat="0" applyAlignment="0" applyProtection="0"/>
    <xf numFmtId="0" fontId="21" fillId="10" borderId="22" applyNumberFormat="0" applyAlignment="0" applyProtection="0"/>
    <xf numFmtId="0" fontId="36" fillId="15" borderId="0" applyNumberFormat="0" applyBorder="0" applyAlignment="0" applyProtection="0"/>
    <xf numFmtId="0" fontId="23" fillId="4" borderId="0" applyNumberFormat="0" applyBorder="0" applyAlignment="0" applyProtection="0"/>
    <xf numFmtId="0" fontId="36" fillId="22" borderId="0" applyNumberFormat="0" applyBorder="0" applyAlignment="0" applyProtection="0"/>
    <xf numFmtId="0" fontId="27" fillId="20" borderId="0" applyNumberFormat="0" applyBorder="0" applyAlignment="0" applyProtection="0"/>
    <xf numFmtId="0" fontId="21" fillId="10" borderId="22" applyNumberFormat="0" applyAlignment="0" applyProtection="0"/>
    <xf numFmtId="0" fontId="45" fillId="0" borderId="0" applyNumberFormat="0" applyFill="0" applyBorder="0" applyAlignment="0" applyProtection="0">
      <alignment vertical="top"/>
      <protection locked="0"/>
    </xf>
    <xf numFmtId="0" fontId="5" fillId="0" borderId="0"/>
    <xf numFmtId="49" fontId="5" fillId="0" borderId="0" applyFill="0" applyBorder="0" applyProtection="0">
      <alignment horizontal="left"/>
    </xf>
    <xf numFmtId="0" fontId="19" fillId="0" borderId="0" applyNumberFormat="0" applyFill="0" applyBorder="0" applyAlignment="0" applyProtection="0">
      <alignment vertical="top"/>
      <protection locked="0"/>
    </xf>
    <xf numFmtId="0" fontId="21" fillId="10" borderId="22" applyNumberFormat="0" applyAlignment="0" applyProtection="0"/>
    <xf numFmtId="0" fontId="36" fillId="15" borderId="0" applyNumberFormat="0" applyBorder="0" applyAlignment="0" applyProtection="0"/>
    <xf numFmtId="0" fontId="21" fillId="10" borderId="22" applyNumberFormat="0" applyAlignment="0" applyProtection="0"/>
    <xf numFmtId="0" fontId="36" fillId="16" borderId="0" applyNumberFormat="0" applyBorder="0" applyAlignment="0" applyProtection="0"/>
    <xf numFmtId="0" fontId="36" fillId="24" borderId="0" applyNumberFormat="0" applyBorder="0" applyAlignment="0" applyProtection="0"/>
    <xf numFmtId="9" fontId="16" fillId="0" borderId="0" applyFont="0" applyFill="0" applyBorder="0" applyAlignment="0" applyProtection="0"/>
    <xf numFmtId="0" fontId="5" fillId="0" borderId="0"/>
    <xf numFmtId="0" fontId="36" fillId="24" borderId="0" applyNumberFormat="0" applyBorder="0" applyAlignment="0" applyProtection="0"/>
    <xf numFmtId="0" fontId="23" fillId="17" borderId="0" applyNumberFormat="0" applyBorder="0" applyAlignment="0" applyProtection="0"/>
    <xf numFmtId="0" fontId="23" fillId="5" borderId="0" applyNumberFormat="0" applyBorder="0" applyAlignment="0" applyProtection="0"/>
    <xf numFmtId="0" fontId="36" fillId="25" borderId="0" applyNumberFormat="0" applyBorder="0" applyAlignment="0" applyProtection="0"/>
    <xf numFmtId="0" fontId="23" fillId="17" borderId="0" applyNumberFormat="0" applyBorder="0" applyAlignment="0" applyProtection="0"/>
    <xf numFmtId="0" fontId="36" fillId="22" borderId="0" applyNumberFormat="0" applyBorder="0" applyAlignment="0" applyProtection="0"/>
    <xf numFmtId="0" fontId="23" fillId="21" borderId="0" applyNumberFormat="0" applyBorder="0" applyAlignment="0" applyProtection="0"/>
    <xf numFmtId="164" fontId="5" fillId="0" borderId="0" applyFont="0" applyFill="0" applyBorder="0" applyAlignment="0" applyProtection="0">
      <alignment horizontal="left"/>
    </xf>
    <xf numFmtId="0" fontId="22" fillId="0" borderId="30" applyNumberFormat="0" applyFill="0" applyAlignment="0" applyProtection="0"/>
    <xf numFmtId="0" fontId="14" fillId="0" borderId="0" applyNumberFormat="0" applyFill="0" applyBorder="0" applyAlignment="0" applyProtection="0"/>
    <xf numFmtId="0" fontId="28" fillId="8" borderId="25" applyNumberFormat="0" applyAlignment="0" applyProtection="0"/>
    <xf numFmtId="0" fontId="21" fillId="10" borderId="22" applyNumberFormat="0" applyAlignment="0" applyProtection="0"/>
    <xf numFmtId="0" fontId="36" fillId="19" borderId="0" applyNumberFormat="0" applyBorder="0" applyAlignment="0" applyProtection="0"/>
    <xf numFmtId="0" fontId="36" fillId="25" borderId="0" applyNumberFormat="0" applyBorder="0" applyAlignment="0" applyProtection="0"/>
    <xf numFmtId="0" fontId="31" fillId="14" borderId="0" applyNumberFormat="0" applyBorder="0" applyAlignment="0" applyProtection="0"/>
    <xf numFmtId="0" fontId="15" fillId="0" borderId="0">
      <alignment horizontal="right"/>
    </xf>
    <xf numFmtId="0" fontId="30" fillId="23" borderId="0" applyNumberFormat="0" applyBorder="0" applyAlignment="0" applyProtection="0"/>
    <xf numFmtId="0" fontId="18" fillId="0" borderId="28" applyNumberFormat="0" applyFill="0" applyAlignment="0" applyProtection="0"/>
    <xf numFmtId="0" fontId="32" fillId="9" borderId="23" applyNumberFormat="0" applyAlignment="0" applyProtection="0"/>
    <xf numFmtId="0" fontId="43" fillId="0" borderId="0" applyNumberFormat="0" applyFill="0" applyBorder="0" applyAlignment="0" applyProtection="0">
      <alignment vertical="top"/>
      <protection locked="0"/>
    </xf>
    <xf numFmtId="0" fontId="36" fillId="19" borderId="0" applyNumberFormat="0" applyBorder="0" applyAlignment="0" applyProtection="0"/>
    <xf numFmtId="0" fontId="23" fillId="20" borderId="0" applyNumberFormat="0" applyBorder="0" applyAlignment="0" applyProtection="0"/>
    <xf numFmtId="0" fontId="23" fillId="13" borderId="0" applyNumberFormat="0" applyBorder="0" applyAlignment="0" applyProtection="0"/>
    <xf numFmtId="175" fontId="20" fillId="27" borderId="0" applyNumberFormat="0" applyBorder="0">
      <protection locked="0"/>
    </xf>
    <xf numFmtId="0" fontId="2" fillId="0" borderId="0"/>
    <xf numFmtId="0" fontId="46" fillId="0" borderId="0" applyNumberFormat="0" applyFill="0" applyBorder="0" applyAlignment="0" applyProtection="0"/>
    <xf numFmtId="0" fontId="6" fillId="0" borderId="0"/>
    <xf numFmtId="0" fontId="23" fillId="20" borderId="0" applyNumberFormat="0" applyBorder="0" applyAlignment="0" applyProtection="0"/>
    <xf numFmtId="174" fontId="5" fillId="0" borderId="0" applyFont="0" applyFill="0" applyBorder="0" applyAlignment="0" applyProtection="0">
      <alignment horizontal="left"/>
    </xf>
    <xf numFmtId="0" fontId="36" fillId="15" borderId="0" applyNumberFormat="0" applyBorder="0" applyAlignment="0" applyProtection="0"/>
    <xf numFmtId="0" fontId="6" fillId="0" borderId="0"/>
    <xf numFmtId="0" fontId="23" fillId="17" borderId="0" applyNumberFormat="0" applyBorder="0" applyAlignment="0" applyProtection="0"/>
    <xf numFmtId="173" fontId="5" fillId="0" borderId="0" applyFont="0" applyFill="0" applyBorder="0" applyAlignment="0" applyProtection="0">
      <alignment horizontal="left"/>
    </xf>
    <xf numFmtId="0" fontId="6" fillId="0" borderId="0"/>
    <xf numFmtId="0" fontId="33" fillId="9" borderId="2"/>
    <xf numFmtId="0" fontId="23" fillId="11" borderId="24" applyNumberFormat="0" applyFont="0" applyAlignment="0" applyProtection="0"/>
    <xf numFmtId="0" fontId="23" fillId="11" borderId="24" applyNumberFormat="0" applyFont="0" applyAlignment="0" applyProtection="0"/>
    <xf numFmtId="0" fontId="23" fillId="10" borderId="0" applyNumberFormat="0" applyBorder="0" applyAlignment="0" applyProtection="0"/>
    <xf numFmtId="0" fontId="36" fillId="19" borderId="0" applyNumberFormat="0" applyBorder="0" applyAlignment="0" applyProtection="0"/>
    <xf numFmtId="0" fontId="5" fillId="0" borderId="0"/>
    <xf numFmtId="0" fontId="35" fillId="8" borderId="22" applyNumberFormat="0" applyAlignment="0" applyProtection="0"/>
    <xf numFmtId="0" fontId="54" fillId="0" borderId="0" applyNumberFormat="0" applyFill="0" applyBorder="0" applyAlignment="0" applyProtection="0"/>
    <xf numFmtId="0" fontId="55" fillId="35" borderId="0" applyNumberFormat="0" applyBorder="0" applyAlignment="0" applyProtection="0"/>
    <xf numFmtId="0" fontId="56" fillId="36" borderId="0" applyNumberFormat="0" applyBorder="0" applyAlignment="0" applyProtection="0"/>
    <xf numFmtId="0" fontId="57" fillId="37" borderId="0" applyNumberFormat="0" applyBorder="0" applyAlignment="0" applyProtection="0"/>
    <xf numFmtId="0" fontId="58" fillId="38" borderId="64" applyNumberFormat="0" applyAlignment="0" applyProtection="0"/>
    <xf numFmtId="0" fontId="59"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59"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59"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59"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59"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59"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44" fillId="0" borderId="0"/>
    <xf numFmtId="0" fontId="5" fillId="64" borderId="66" applyNumberFormat="0" applyAlignment="0" applyProtection="0"/>
    <xf numFmtId="0" fontId="61" fillId="65" borderId="67" applyNumberFormat="0" applyProtection="0">
      <alignment vertical="center"/>
    </xf>
    <xf numFmtId="43" fontId="44" fillId="0" borderId="0" applyFont="0" applyFill="0" applyBorder="0" applyAlignment="0" applyProtection="0"/>
    <xf numFmtId="43" fontId="44" fillId="0" borderId="0" applyFon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0" fillId="0" borderId="0" applyNumberFormat="0" applyFill="0" applyBorder="0" applyAlignment="0" applyProtection="0">
      <alignment vertical="top"/>
      <protection locked="0"/>
    </xf>
    <xf numFmtId="0" fontId="5" fillId="66" borderId="63" applyNumberFormat="0" applyBorder="0" applyAlignment="0" applyProtection="0"/>
    <xf numFmtId="0" fontId="5" fillId="67" borderId="0">
      <alignment vertical="center"/>
    </xf>
    <xf numFmtId="0" fontId="5" fillId="68" borderId="68" applyNumberFormat="0" applyAlignment="0" applyProtection="0"/>
    <xf numFmtId="0" fontId="44" fillId="39" borderId="65" applyNumberFormat="0" applyFont="0" applyAlignment="0" applyProtection="0"/>
    <xf numFmtId="0" fontId="64" fillId="69" borderId="69" applyNumberFormat="0" applyAlignment="0" applyProtection="0"/>
    <xf numFmtId="9" fontId="2" fillId="0" borderId="0" applyFont="0" applyFill="0" applyBorder="0" applyAlignment="0" applyProtection="0"/>
    <xf numFmtId="0" fontId="5" fillId="70" borderId="70" applyNumberFormat="0" applyProtection="0">
      <alignment vertical="center"/>
    </xf>
    <xf numFmtId="0" fontId="64" fillId="71" borderId="0" applyNumberFormat="0" applyBorder="0" applyAlignment="0" applyProtection="0"/>
  </cellStyleXfs>
  <cellXfs count="205">
    <xf numFmtId="0" fontId="0" fillId="0" borderId="0" xfId="0"/>
    <xf numFmtId="0" fontId="0" fillId="0" borderId="0" xfId="0" applyAlignment="1">
      <alignment vertical="center"/>
    </xf>
    <xf numFmtId="164" fontId="0" fillId="0" borderId="2" xfId="0" applyNumberFormat="1" applyBorder="1" applyAlignment="1">
      <alignment horizontal="center"/>
    </xf>
    <xf numFmtId="0" fontId="3" fillId="0" borderId="0" xfId="1" applyAlignment="1"/>
    <xf numFmtId="164" fontId="0" fillId="3" borderId="2" xfId="0" applyNumberFormat="1" applyFill="1" applyBorder="1" applyAlignment="1">
      <alignment horizontal="center"/>
    </xf>
    <xf numFmtId="0" fontId="7" fillId="0" borderId="0" xfId="0" applyFont="1" applyAlignment="1">
      <alignment vertical="center"/>
    </xf>
    <xf numFmtId="0" fontId="10" fillId="0" borderId="0" xfId="0" applyFont="1" applyBorder="1" applyAlignment="1"/>
    <xf numFmtId="164" fontId="0" fillId="0" borderId="2" xfId="0" applyNumberFormat="1" applyFill="1" applyBorder="1" applyAlignment="1">
      <alignment horizontal="center"/>
    </xf>
    <xf numFmtId="0" fontId="10" fillId="0" borderId="0" xfId="0" applyFont="1" applyBorder="1" applyAlignment="1">
      <alignment horizontal="center"/>
    </xf>
    <xf numFmtId="0" fontId="10" fillId="0" borderId="0" xfId="0" applyFont="1" applyBorder="1" applyAlignment="1">
      <alignment horizontal="center"/>
    </xf>
    <xf numFmtId="0" fontId="0" fillId="0" borderId="0" xfId="0" applyFont="1" applyAlignment="1">
      <alignment vertical="center"/>
    </xf>
    <xf numFmtId="0" fontId="0" fillId="0" borderId="0" xfId="0" applyFont="1"/>
    <xf numFmtId="0" fontId="47" fillId="28" borderId="0" xfId="0" applyFont="1" applyFill="1" applyBorder="1" applyAlignment="1" applyProtection="1">
      <alignment horizontal="center" vertical="center"/>
      <protection locked="0"/>
    </xf>
    <xf numFmtId="0" fontId="0" fillId="30" borderId="0" xfId="0" applyFill="1" applyBorder="1" applyAlignment="1" applyProtection="1">
      <alignment horizontal="center" vertical="center"/>
      <protection locked="0"/>
    </xf>
    <xf numFmtId="14" fontId="0" fillId="30" borderId="0" xfId="0" applyNumberFormat="1" applyFill="1" applyBorder="1" applyAlignment="1" applyProtection="1">
      <alignment horizontal="center" vertical="center"/>
      <protection locked="0"/>
    </xf>
    <xf numFmtId="0" fontId="8" fillId="28" borderId="2" xfId="0" applyFont="1" applyFill="1" applyBorder="1" applyAlignment="1">
      <alignment horizontal="center" vertical="center"/>
    </xf>
    <xf numFmtId="0" fontId="0" fillId="31" borderId="2" xfId="0" applyFont="1" applyFill="1" applyBorder="1" applyAlignment="1">
      <alignment vertical="center"/>
    </xf>
    <xf numFmtId="0" fontId="47" fillId="28" borderId="2" xfId="0" applyFont="1" applyFill="1" applyBorder="1" applyAlignment="1" applyProtection="1">
      <alignment horizontal="center" vertical="center"/>
      <protection locked="0"/>
    </xf>
    <xf numFmtId="0" fontId="0" fillId="31" borderId="20" xfId="0" applyFont="1" applyFill="1" applyBorder="1" applyAlignment="1">
      <alignment vertical="center"/>
    </xf>
    <xf numFmtId="0" fontId="8" fillId="28" borderId="6" xfId="0" applyFont="1" applyFill="1" applyBorder="1" applyAlignment="1">
      <alignment horizontal="center" vertical="center"/>
    </xf>
    <xf numFmtId="0" fontId="8" fillId="28" borderId="7" xfId="0" applyFont="1" applyFill="1" applyBorder="1" applyAlignment="1">
      <alignment vertical="center" wrapText="1"/>
    </xf>
    <xf numFmtId="0" fontId="8" fillId="28" borderId="8" xfId="0" applyFont="1" applyFill="1" applyBorder="1" applyAlignment="1">
      <alignment vertical="center" wrapText="1"/>
    </xf>
    <xf numFmtId="0" fontId="8" fillId="28" borderId="13" xfId="0" applyFont="1" applyFill="1" applyBorder="1" applyAlignment="1">
      <alignment horizontal="center" vertical="center"/>
    </xf>
    <xf numFmtId="0" fontId="0" fillId="31" borderId="2" xfId="0" applyFill="1" applyBorder="1" applyAlignment="1">
      <alignment vertical="center"/>
    </xf>
    <xf numFmtId="0" fontId="0" fillId="0" borderId="0" xfId="0" applyFont="1" applyBorder="1"/>
    <xf numFmtId="0" fontId="0" fillId="0" borderId="1" xfId="0" applyFont="1" applyBorder="1"/>
    <xf numFmtId="0" fontId="0" fillId="0" borderId="0" xfId="0" applyAlignment="1">
      <alignment horizontal="left"/>
    </xf>
    <xf numFmtId="0" fontId="8" fillId="28" borderId="2" xfId="0" applyFont="1" applyFill="1" applyBorder="1" applyAlignment="1">
      <alignment horizontal="center"/>
    </xf>
    <xf numFmtId="0" fontId="7" fillId="0" borderId="0" xfId="0" applyFont="1" applyFill="1" applyBorder="1" applyAlignment="1">
      <alignment vertical="top"/>
    </xf>
    <xf numFmtId="0" fontId="0" fillId="0" borderId="0" xfId="0" applyFill="1" applyBorder="1" applyAlignment="1">
      <alignment vertical="top"/>
    </xf>
    <xf numFmtId="0" fontId="7" fillId="0" borderId="0" xfId="0" applyFont="1" applyBorder="1" applyAlignment="1">
      <alignment horizontal="left"/>
    </xf>
    <xf numFmtId="4" fontId="0" fillId="32" borderId="2" xfId="0" applyNumberFormat="1" applyFill="1" applyBorder="1" applyAlignment="1">
      <alignment vertical="center"/>
    </xf>
    <xf numFmtId="166" fontId="0" fillId="32" borderId="10" xfId="7" applyNumberFormat="1" applyFont="1" applyFill="1" applyBorder="1" applyAlignment="1">
      <alignment vertical="center"/>
    </xf>
    <xf numFmtId="4" fontId="0" fillId="32" borderId="20" xfId="0" applyNumberFormat="1" applyFill="1" applyBorder="1" applyAlignment="1">
      <alignment vertical="center"/>
    </xf>
    <xf numFmtId="166" fontId="0" fillId="32" borderId="7" xfId="7" applyNumberFormat="1" applyFont="1" applyFill="1" applyBorder="1" applyAlignment="1">
      <alignment vertical="center"/>
    </xf>
    <xf numFmtId="166" fontId="0" fillId="32" borderId="8" xfId="7" applyNumberFormat="1" applyFont="1" applyFill="1" applyBorder="1" applyAlignment="1">
      <alignment vertical="center"/>
    </xf>
    <xf numFmtId="166" fontId="0" fillId="32" borderId="2" xfId="7" applyNumberFormat="1" applyFont="1" applyFill="1" applyBorder="1" applyAlignment="1">
      <alignment vertical="center"/>
    </xf>
    <xf numFmtId="166" fontId="0" fillId="32" borderId="11" xfId="7" applyNumberFormat="1" applyFont="1" applyFill="1" applyBorder="1" applyAlignment="1">
      <alignment vertical="center"/>
    </xf>
    <xf numFmtId="166" fontId="0" fillId="32" borderId="12" xfId="7" applyNumberFormat="1" applyFont="1" applyFill="1" applyBorder="1" applyAlignment="1">
      <alignment vertical="center"/>
    </xf>
    <xf numFmtId="166" fontId="0" fillId="32" borderId="27" xfId="7" applyNumberFormat="1" applyFont="1" applyFill="1" applyBorder="1" applyAlignment="1">
      <alignment vertical="center"/>
    </xf>
    <xf numFmtId="166" fontId="0" fillId="32" borderId="31" xfId="7" applyNumberFormat="1" applyFont="1" applyFill="1" applyBorder="1" applyAlignment="1">
      <alignment vertical="center"/>
    </xf>
    <xf numFmtId="0" fontId="7" fillId="0" borderId="0" xfId="0" applyFont="1" applyAlignment="1">
      <alignment horizontal="left"/>
    </xf>
    <xf numFmtId="0" fontId="8" fillId="29" borderId="2" xfId="0" applyFont="1" applyFill="1" applyBorder="1" applyAlignment="1">
      <alignment horizontal="center"/>
    </xf>
    <xf numFmtId="0" fontId="3" fillId="0" borderId="0" xfId="1" applyBorder="1" applyAlignment="1">
      <alignment horizontal="left"/>
    </xf>
    <xf numFmtId="14" fontId="0" fillId="0" borderId="0" xfId="0" applyNumberFormat="1" applyBorder="1" applyAlignment="1">
      <alignment horizontal="left"/>
    </xf>
    <xf numFmtId="0" fontId="8" fillId="28" borderId="41" xfId="0" applyFont="1" applyFill="1" applyBorder="1" applyAlignment="1">
      <alignment vertical="center"/>
    </xf>
    <xf numFmtId="0" fontId="8" fillId="28" borderId="41" xfId="0" applyFont="1" applyFill="1" applyBorder="1" applyAlignment="1">
      <alignment horizontal="center" vertical="center"/>
    </xf>
    <xf numFmtId="0" fontId="8" fillId="28" borderId="41" xfId="0" applyFont="1" applyFill="1" applyBorder="1" applyAlignment="1">
      <alignment vertical="center" wrapText="1"/>
    </xf>
    <xf numFmtId="0" fontId="8" fillId="28" borderId="42" xfId="0" applyFont="1" applyFill="1" applyBorder="1" applyAlignment="1">
      <alignment vertical="center" wrapText="1"/>
    </xf>
    <xf numFmtId="0" fontId="7" fillId="31" borderId="9" xfId="0" applyFont="1" applyFill="1" applyBorder="1" applyAlignment="1">
      <alignment horizontal="center" vertical="center"/>
    </xf>
    <xf numFmtId="1" fontId="0" fillId="0" borderId="2" xfId="0" applyNumberFormat="1" applyFill="1" applyBorder="1" applyAlignment="1">
      <alignment horizontal="center"/>
    </xf>
    <xf numFmtId="1" fontId="0" fillId="0" borderId="2" xfId="0" applyNumberFormat="1" applyBorder="1" applyAlignment="1">
      <alignment horizontal="center"/>
    </xf>
    <xf numFmtId="178" fontId="0" fillId="30" borderId="2" xfId="6" applyNumberFormat="1" applyFont="1" applyFill="1" applyBorder="1" applyAlignment="1" applyProtection="1">
      <alignment horizontal="center" vertical="center"/>
      <protection locked="0"/>
    </xf>
    <xf numFmtId="0" fontId="0" fillId="0" borderId="0" xfId="0" applyProtection="1"/>
    <xf numFmtId="0" fontId="0" fillId="0" borderId="36" xfId="0" applyBorder="1" applyProtection="1"/>
    <xf numFmtId="0" fontId="0" fillId="0" borderId="0" xfId="0" applyFont="1" applyAlignment="1" applyProtection="1">
      <alignment horizontal="left" vertical="center"/>
    </xf>
    <xf numFmtId="0" fontId="47" fillId="28" borderId="0" xfId="0" applyFont="1" applyFill="1" applyBorder="1" applyAlignment="1" applyProtection="1">
      <alignment vertical="center"/>
    </xf>
    <xf numFmtId="0" fontId="0" fillId="0" borderId="0" xfId="0" applyAlignment="1" applyProtection="1">
      <alignment vertical="center"/>
    </xf>
    <xf numFmtId="0" fontId="0" fillId="29" borderId="0" xfId="0" applyFill="1" applyBorder="1" applyAlignment="1" applyProtection="1">
      <alignment vertical="center"/>
    </xf>
    <xf numFmtId="0" fontId="0" fillId="30" borderId="0" xfId="0" applyFill="1" applyBorder="1" applyAlignment="1" applyProtection="1">
      <alignment vertical="center"/>
    </xf>
    <xf numFmtId="0" fontId="0" fillId="0" borderId="34" xfId="0" applyBorder="1" applyAlignment="1" applyProtection="1">
      <alignment vertical="center"/>
    </xf>
    <xf numFmtId="0" fontId="0" fillId="0" borderId="0" xfId="0" applyFont="1" applyAlignment="1" applyProtection="1">
      <alignment horizontal="left"/>
    </xf>
    <xf numFmtId="0" fontId="0" fillId="0" borderId="0" xfId="0" applyFill="1" applyAlignment="1" applyProtection="1">
      <alignment horizontal="center" vertical="center"/>
    </xf>
    <xf numFmtId="0" fontId="0" fillId="29" borderId="0" xfId="0" applyFill="1" applyBorder="1" applyAlignment="1" applyProtection="1">
      <alignment horizontal="center" vertical="center"/>
    </xf>
    <xf numFmtId="0" fontId="0" fillId="0" borderId="0" xfId="0" applyAlignment="1" applyProtection="1">
      <alignment horizontal="center" vertical="center"/>
    </xf>
    <xf numFmtId="0" fontId="4" fillId="0" borderId="0" xfId="0" applyFont="1" applyAlignment="1" applyProtection="1">
      <alignment horizontal="left" vertical="center"/>
    </xf>
    <xf numFmtId="0" fontId="7" fillId="0" borderId="33" xfId="0" applyFont="1" applyBorder="1" applyProtection="1"/>
    <xf numFmtId="0" fontId="0" fillId="0" borderId="33" xfId="0" applyBorder="1" applyProtection="1"/>
    <xf numFmtId="0" fontId="7" fillId="0" borderId="0" xfId="0" applyFont="1" applyProtection="1"/>
    <xf numFmtId="0" fontId="0" fillId="0" borderId="0" xfId="0" applyBorder="1" applyProtection="1"/>
    <xf numFmtId="0" fontId="0" fillId="0" borderId="34" xfId="0" applyBorder="1" applyAlignment="1" applyProtection="1">
      <alignment horizontal="left" vertical="top" wrapText="1"/>
    </xf>
    <xf numFmtId="0" fontId="0" fillId="0" borderId="34" xfId="0" applyBorder="1" applyProtection="1"/>
    <xf numFmtId="0" fontId="0" fillId="0" borderId="0" xfId="0" applyFill="1" applyBorder="1" applyAlignment="1" applyProtection="1">
      <alignment vertical="top" wrapText="1"/>
    </xf>
    <xf numFmtId="0" fontId="7" fillId="0" borderId="0" xfId="0" applyFont="1" applyFill="1" applyBorder="1" applyAlignment="1" applyProtection="1">
      <alignment vertical="top"/>
    </xf>
    <xf numFmtId="0" fontId="0" fillId="0" borderId="0" xfId="0" applyFill="1" applyBorder="1" applyAlignment="1" applyProtection="1">
      <alignment vertical="top"/>
    </xf>
    <xf numFmtId="0" fontId="7" fillId="0" borderId="0" xfId="0" applyFont="1" applyAlignment="1" applyProtection="1">
      <alignment horizontal="left" vertical="center"/>
    </xf>
    <xf numFmtId="0" fontId="47" fillId="31" borderId="0" xfId="0" applyFont="1" applyFill="1" applyBorder="1" applyAlignment="1" applyProtection="1">
      <alignment vertical="center"/>
    </xf>
    <xf numFmtId="0" fontId="0" fillId="31" borderId="0" xfId="0" applyFill="1" applyBorder="1" applyAlignment="1" applyProtection="1">
      <alignment vertical="center"/>
    </xf>
    <xf numFmtId="0" fontId="0" fillId="31" borderId="0" xfId="0" applyFill="1" applyAlignment="1" applyProtection="1">
      <alignment vertical="center"/>
    </xf>
    <xf numFmtId="0" fontId="0" fillId="0" borderId="36" xfId="0" applyBorder="1" applyAlignment="1" applyProtection="1">
      <alignment vertical="center"/>
    </xf>
    <xf numFmtId="0" fontId="49" fillId="0" borderId="0" xfId="0" applyFont="1" applyBorder="1" applyAlignment="1" applyProtection="1">
      <alignment vertical="center"/>
    </xf>
    <xf numFmtId="0" fontId="0" fillId="0" borderId="0" xfId="0" applyBorder="1" applyAlignment="1" applyProtection="1">
      <alignment vertical="center"/>
    </xf>
    <xf numFmtId="0" fontId="0" fillId="0" borderId="0" xfId="0" applyFont="1" applyBorder="1" applyAlignment="1" applyProtection="1">
      <alignment vertical="center"/>
    </xf>
    <xf numFmtId="0" fontId="8" fillId="28" borderId="2" xfId="0" applyFont="1" applyFill="1" applyBorder="1" applyAlignment="1" applyProtection="1">
      <alignment horizontal="center" vertical="center"/>
    </xf>
    <xf numFmtId="0" fontId="8" fillId="28" borderId="2" xfId="0" applyFont="1" applyFill="1" applyBorder="1" applyAlignment="1" applyProtection="1">
      <alignment horizontal="center" vertical="center" wrapText="1"/>
    </xf>
    <xf numFmtId="0" fontId="8" fillId="28" borderId="2" xfId="0" applyFont="1" applyFill="1" applyBorder="1" applyAlignment="1" applyProtection="1">
      <alignment vertical="center"/>
    </xf>
    <xf numFmtId="0" fontId="0" fillId="31" borderId="2" xfId="0" applyFont="1" applyFill="1" applyBorder="1" applyAlignment="1" applyProtection="1">
      <alignment vertical="center"/>
    </xf>
    <xf numFmtId="0" fontId="0" fillId="31" borderId="2" xfId="0" applyFill="1" applyBorder="1" applyAlignment="1" applyProtection="1">
      <alignment horizontal="center" vertical="center"/>
    </xf>
    <xf numFmtId="0" fontId="0" fillId="29" borderId="2" xfId="0" applyFill="1" applyBorder="1" applyAlignment="1" applyProtection="1">
      <alignment horizontal="center" vertical="center"/>
    </xf>
    <xf numFmtId="164" fontId="0" fillId="29" borderId="2" xfId="0" applyNumberFormat="1" applyFill="1" applyBorder="1" applyAlignment="1" applyProtection="1">
      <alignment horizontal="center" vertical="center"/>
    </xf>
    <xf numFmtId="4" fontId="0" fillId="2" borderId="2" xfId="0" applyNumberFormat="1" applyFill="1" applyBorder="1" applyAlignment="1" applyProtection="1">
      <alignment horizontal="center" vertical="center"/>
    </xf>
    <xf numFmtId="0" fontId="0" fillId="0" borderId="0" xfId="0" applyBorder="1" applyAlignment="1" applyProtection="1">
      <alignment horizontal="center" vertical="center"/>
    </xf>
    <xf numFmtId="0" fontId="0" fillId="0" borderId="2" xfId="0" applyFont="1" applyFill="1" applyBorder="1" applyAlignment="1" applyProtection="1">
      <alignment vertical="center"/>
    </xf>
    <xf numFmtId="0" fontId="7" fillId="0" borderId="0" xfId="0" applyFont="1" applyFill="1" applyBorder="1" applyAlignment="1" applyProtection="1">
      <alignment vertical="center"/>
    </xf>
    <xf numFmtId="0" fontId="0" fillId="0" borderId="0" xfId="0" applyFill="1" applyBorder="1" applyAlignment="1" applyProtection="1">
      <alignment horizontal="center" vertical="center"/>
    </xf>
    <xf numFmtId="165" fontId="0" fillId="0" borderId="0" xfId="6" applyNumberFormat="1" applyFont="1" applyFill="1" applyBorder="1" applyAlignment="1" applyProtection="1">
      <alignment horizontal="center" vertical="center"/>
    </xf>
    <xf numFmtId="164" fontId="0" fillId="0" borderId="0" xfId="0" applyNumberFormat="1" applyFill="1" applyBorder="1" applyAlignment="1" applyProtection="1">
      <alignment horizontal="center" vertical="center"/>
    </xf>
    <xf numFmtId="4" fontId="0" fillId="0" borderId="0" xfId="0" applyNumberFormat="1" applyFill="1" applyBorder="1" applyAlignment="1" applyProtection="1">
      <alignment horizontal="center" vertical="center"/>
    </xf>
    <xf numFmtId="0" fontId="0" fillId="31" borderId="0" xfId="0" applyFont="1" applyFill="1" applyBorder="1" applyAlignment="1" applyProtection="1">
      <alignment vertical="center"/>
    </xf>
    <xf numFmtId="0" fontId="7" fillId="31" borderId="0" xfId="0" applyFont="1" applyFill="1" applyBorder="1" applyAlignment="1" applyProtection="1">
      <alignment vertical="center"/>
    </xf>
    <xf numFmtId="0" fontId="0" fillId="0" borderId="35" xfId="0" applyBorder="1" applyProtection="1"/>
    <xf numFmtId="0" fontId="0" fillId="0" borderId="35" xfId="0" applyBorder="1" applyAlignment="1" applyProtection="1">
      <alignment vertical="center"/>
    </xf>
    <xf numFmtId="1" fontId="0" fillId="3" borderId="2" xfId="0" applyNumberFormat="1" applyFill="1" applyBorder="1" applyAlignment="1">
      <alignment horizontal="center"/>
    </xf>
    <xf numFmtId="0" fontId="8" fillId="28" borderId="2" xfId="0" applyFont="1" applyFill="1" applyBorder="1"/>
    <xf numFmtId="0" fontId="0" fillId="0" borderId="2" xfId="0" applyBorder="1"/>
    <xf numFmtId="0" fontId="8" fillId="28" borderId="2" xfId="0" applyFont="1" applyFill="1" applyBorder="1" applyAlignment="1">
      <alignment horizontal="center" vertical="center" wrapText="1"/>
    </xf>
    <xf numFmtId="0" fontId="0" fillId="31" borderId="2" xfId="0" applyFill="1" applyBorder="1" applyAlignment="1">
      <alignment vertical="center" wrapText="1"/>
    </xf>
    <xf numFmtId="0" fontId="0" fillId="31" borderId="2" xfId="0" applyFill="1" applyBorder="1" applyAlignment="1">
      <alignment horizontal="center" vertical="center"/>
    </xf>
    <xf numFmtId="0" fontId="0" fillId="29" borderId="2" xfId="0" applyFill="1" applyBorder="1" applyAlignment="1">
      <alignment horizontal="center" vertical="center"/>
    </xf>
    <xf numFmtId="164" fontId="0" fillId="29" borderId="2" xfId="0" applyNumberFormat="1" applyFill="1" applyBorder="1" applyAlignment="1">
      <alignment horizontal="center" vertical="center"/>
    </xf>
    <xf numFmtId="4" fontId="0" fillId="2" borderId="2" xfId="0" applyNumberFormat="1" applyFill="1" applyBorder="1" applyAlignment="1">
      <alignment horizontal="center" vertical="center"/>
    </xf>
    <xf numFmtId="0" fontId="0" fillId="31" borderId="0" xfId="0" applyFill="1" applyAlignment="1">
      <alignment vertical="center"/>
    </xf>
    <xf numFmtId="0" fontId="47" fillId="31" borderId="0" xfId="0" applyFont="1" applyFill="1" applyAlignment="1">
      <alignment vertical="center"/>
    </xf>
    <xf numFmtId="0" fontId="0" fillId="31" borderId="0" xfId="0" applyFill="1" applyAlignment="1">
      <alignment horizontal="center" vertical="center"/>
    </xf>
    <xf numFmtId="4" fontId="9" fillId="32" borderId="46" xfId="0" applyNumberFormat="1" applyFont="1" applyFill="1" applyBorder="1" applyAlignment="1">
      <alignment vertical="center"/>
    </xf>
    <xf numFmtId="9" fontId="9" fillId="32" borderId="47" xfId="7" applyFont="1" applyFill="1" applyBorder="1" applyAlignment="1">
      <alignment vertical="center"/>
    </xf>
    <xf numFmtId="0" fontId="7" fillId="0" borderId="0" xfId="0" applyFont="1"/>
    <xf numFmtId="0" fontId="0" fillId="31" borderId="0" xfId="0" applyFill="1" applyBorder="1" applyAlignment="1" applyProtection="1">
      <alignment horizontal="center" vertical="center"/>
    </xf>
    <xf numFmtId="164" fontId="0" fillId="31" borderId="2" xfId="0" applyNumberFormat="1" applyFill="1" applyBorder="1" applyAlignment="1">
      <alignment horizontal="center"/>
    </xf>
    <xf numFmtId="164" fontId="0" fillId="33" borderId="2" xfId="0" applyNumberFormat="1" applyFill="1" applyBorder="1" applyAlignment="1">
      <alignment horizontal="center"/>
    </xf>
    <xf numFmtId="164" fontId="0" fillId="3" borderId="0" xfId="0" applyNumberFormat="1" applyFill="1" applyBorder="1" applyAlignment="1">
      <alignment horizontal="center"/>
    </xf>
    <xf numFmtId="164" fontId="0" fillId="3" borderId="0" xfId="0" applyNumberFormat="1" applyFill="1" applyAlignment="1">
      <alignment horizontal="center"/>
    </xf>
    <xf numFmtId="0" fontId="8" fillId="29" borderId="48" xfId="0" applyFont="1" applyFill="1" applyBorder="1" applyAlignment="1">
      <alignment horizontal="center"/>
    </xf>
    <xf numFmtId="0" fontId="53" fillId="34" borderId="49" xfId="0" applyFont="1" applyFill="1" applyBorder="1"/>
    <xf numFmtId="0" fontId="0" fillId="0" borderId="2" xfId="0" applyFill="1" applyBorder="1" applyAlignment="1">
      <alignment vertical="center"/>
    </xf>
    <xf numFmtId="0" fontId="7" fillId="31" borderId="4" xfId="0" applyFont="1" applyFill="1" applyBorder="1" applyAlignment="1">
      <alignment horizontal="center" vertical="center"/>
    </xf>
    <xf numFmtId="178" fontId="0" fillId="3" borderId="2" xfId="6" applyNumberFormat="1" applyFont="1" applyFill="1" applyBorder="1" applyAlignment="1" applyProtection="1">
      <alignment horizontal="center" vertical="center"/>
      <protection locked="0"/>
    </xf>
    <xf numFmtId="166" fontId="0" fillId="32" borderId="20" xfId="7" applyNumberFormat="1" applyFont="1" applyFill="1" applyBorder="1" applyAlignment="1">
      <alignment vertical="center"/>
    </xf>
    <xf numFmtId="166" fontId="0" fillId="32" borderId="51" xfId="7" applyNumberFormat="1" applyFont="1" applyFill="1" applyBorder="1" applyAlignment="1">
      <alignment vertical="center"/>
    </xf>
    <xf numFmtId="166" fontId="0" fillId="32" borderId="52" xfId="7" applyNumberFormat="1" applyFont="1" applyFill="1" applyBorder="1" applyAlignment="1">
      <alignment vertical="center"/>
    </xf>
    <xf numFmtId="166" fontId="0" fillId="32" borderId="53" xfId="7" applyNumberFormat="1" applyFont="1" applyFill="1" applyBorder="1" applyAlignment="1">
      <alignment vertical="center"/>
    </xf>
    <xf numFmtId="0" fontId="0" fillId="31" borderId="3" xfId="0" applyFill="1" applyBorder="1" applyAlignment="1">
      <alignment vertical="center"/>
    </xf>
    <xf numFmtId="4" fontId="0" fillId="32" borderId="54" xfId="0" applyNumberFormat="1" applyFill="1" applyBorder="1" applyAlignment="1">
      <alignment vertical="center"/>
    </xf>
    <xf numFmtId="4" fontId="0" fillId="32" borderId="17" xfId="0" applyNumberFormat="1" applyFill="1" applyBorder="1" applyAlignment="1">
      <alignment vertical="center"/>
    </xf>
    <xf numFmtId="4" fontId="0" fillId="32" borderId="55" xfId="0" applyNumberFormat="1" applyFill="1" applyBorder="1" applyAlignment="1">
      <alignment vertical="center"/>
    </xf>
    <xf numFmtId="0" fontId="0" fillId="31" borderId="56" xfId="0" applyFill="1" applyBorder="1" applyAlignment="1">
      <alignment vertical="center"/>
    </xf>
    <xf numFmtId="0" fontId="0" fillId="31" borderId="57" xfId="0" applyFill="1" applyBorder="1" applyAlignment="1">
      <alignment vertical="center"/>
    </xf>
    <xf numFmtId="0" fontId="0" fillId="31" borderId="58" xfId="0" applyFill="1" applyBorder="1" applyAlignment="1">
      <alignment vertical="center"/>
    </xf>
    <xf numFmtId="4" fontId="0" fillId="32" borderId="45" xfId="0" applyNumberFormat="1" applyFill="1" applyBorder="1" applyAlignment="1">
      <alignment vertical="center"/>
    </xf>
    <xf numFmtId="4" fontId="0" fillId="32" borderId="59" xfId="0" applyNumberFormat="1" applyFill="1" applyBorder="1" applyAlignment="1">
      <alignment vertical="center"/>
    </xf>
    <xf numFmtId="166" fontId="0" fillId="32" borderId="54" xfId="7" applyNumberFormat="1" applyFont="1" applyFill="1" applyBorder="1" applyAlignment="1">
      <alignment vertical="center"/>
    </xf>
    <xf numFmtId="166" fontId="0" fillId="32" borderId="17" xfId="7" applyNumberFormat="1" applyFont="1" applyFill="1" applyBorder="1" applyAlignment="1">
      <alignment vertical="center"/>
    </xf>
    <xf numFmtId="166" fontId="0" fillId="32" borderId="59" xfId="7" applyNumberFormat="1" applyFont="1" applyFill="1" applyBorder="1" applyAlignment="1">
      <alignment vertical="center"/>
    </xf>
    <xf numFmtId="4" fontId="0" fillId="32" borderId="60" xfId="0" applyNumberFormat="1" applyFill="1" applyBorder="1" applyAlignment="1">
      <alignment vertical="center"/>
    </xf>
    <xf numFmtId="0" fontId="0" fillId="31" borderId="56" xfId="0" applyFont="1" applyFill="1" applyBorder="1" applyAlignment="1">
      <alignment vertical="center"/>
    </xf>
    <xf numFmtId="0" fontId="0" fillId="31" borderId="57" xfId="0" applyFont="1" applyFill="1" applyBorder="1" applyAlignment="1">
      <alignment vertical="center"/>
    </xf>
    <xf numFmtId="0" fontId="0" fillId="31" borderId="58" xfId="0" applyFont="1" applyFill="1" applyBorder="1" applyAlignment="1">
      <alignment vertical="center"/>
    </xf>
    <xf numFmtId="0" fontId="0" fillId="0" borderId="57" xfId="0" applyFill="1" applyBorder="1" applyAlignment="1">
      <alignment vertical="center"/>
    </xf>
    <xf numFmtId="0" fontId="0" fillId="0" borderId="61" xfId="0" applyFill="1" applyBorder="1" applyAlignment="1">
      <alignment vertical="center"/>
    </xf>
    <xf numFmtId="0" fontId="0" fillId="0" borderId="57" xfId="0" applyFont="1" applyFill="1" applyBorder="1" applyAlignment="1" applyProtection="1">
      <alignment vertical="center"/>
    </xf>
    <xf numFmtId="0" fontId="0" fillId="31" borderId="61" xfId="0" applyFont="1" applyFill="1" applyBorder="1" applyAlignment="1">
      <alignment vertical="center"/>
    </xf>
    <xf numFmtId="0" fontId="0" fillId="0" borderId="56" xfId="0" applyFill="1" applyBorder="1" applyAlignment="1">
      <alignment vertical="center"/>
    </xf>
    <xf numFmtId="0" fontId="0" fillId="0" borderId="58" xfId="0" applyFill="1" applyBorder="1" applyAlignment="1">
      <alignment vertical="center"/>
    </xf>
    <xf numFmtId="0" fontId="0" fillId="31" borderId="61" xfId="0" applyFill="1" applyBorder="1" applyAlignment="1">
      <alignment vertical="center"/>
    </xf>
    <xf numFmtId="0" fontId="0" fillId="0" borderId="62" xfId="0" applyFont="1" applyFill="1" applyBorder="1" applyAlignment="1" applyProtection="1">
      <alignment vertical="center"/>
    </xf>
    <xf numFmtId="0" fontId="47" fillId="31" borderId="0" xfId="0" applyFont="1" applyFill="1"/>
    <xf numFmtId="0" fontId="47" fillId="31" borderId="0" xfId="0" applyFont="1" applyFill="1" applyAlignment="1">
      <alignment horizontal="center"/>
    </xf>
    <xf numFmtId="1" fontId="0" fillId="31" borderId="2" xfId="0" applyNumberFormat="1" applyFill="1" applyBorder="1" applyAlignment="1">
      <alignment horizontal="center"/>
    </xf>
    <xf numFmtId="0" fontId="7" fillId="0" borderId="0" xfId="0" applyFont="1" applyBorder="1" applyAlignment="1" applyProtection="1">
      <alignment horizontal="center" vertical="center"/>
    </xf>
    <xf numFmtId="0" fontId="0" fillId="0" borderId="32" xfId="0" applyFill="1" applyBorder="1" applyAlignment="1" applyProtection="1">
      <alignment horizontal="left" vertical="top" wrapText="1"/>
    </xf>
    <xf numFmtId="0" fontId="0" fillId="0" borderId="0" xfId="0" applyFill="1" applyBorder="1" applyAlignment="1" applyProtection="1">
      <alignment horizontal="left" vertical="top" wrapText="1"/>
    </xf>
    <xf numFmtId="0" fontId="7" fillId="0" borderId="0" xfId="0" applyFont="1" applyBorder="1" applyAlignment="1" applyProtection="1">
      <alignment horizontal="left"/>
    </xf>
    <xf numFmtId="0" fontId="0" fillId="0" borderId="0" xfId="0" applyBorder="1" applyAlignment="1" applyProtection="1">
      <alignment horizontal="left" vertical="top" wrapText="1"/>
    </xf>
    <xf numFmtId="0" fontId="0" fillId="0" borderId="0" xfId="0" applyAlignment="1" applyProtection="1">
      <alignment horizontal="left" wrapText="1"/>
    </xf>
    <xf numFmtId="0" fontId="7" fillId="0" borderId="0" xfId="0" applyFont="1" applyAlignment="1" applyProtection="1">
      <alignment horizontal="left" vertical="center"/>
    </xf>
    <xf numFmtId="0" fontId="47" fillId="28" borderId="0" xfId="0" applyFont="1" applyFill="1" applyBorder="1" applyAlignment="1" applyProtection="1">
      <alignment horizontal="left" vertical="center"/>
    </xf>
    <xf numFmtId="0" fontId="0" fillId="29" borderId="0" xfId="0" applyFill="1" applyBorder="1" applyAlignment="1" applyProtection="1">
      <alignment horizontal="left" vertical="center"/>
    </xf>
    <xf numFmtId="0" fontId="0" fillId="30" borderId="0" xfId="0" applyFill="1" applyBorder="1" applyAlignment="1" applyProtection="1">
      <alignment horizontal="left" vertical="center"/>
    </xf>
    <xf numFmtId="0" fontId="0" fillId="30" borderId="0" xfId="0" applyFill="1" applyBorder="1" applyAlignment="1" applyProtection="1">
      <alignment horizontal="left" vertical="top" wrapText="1"/>
      <protection locked="0"/>
    </xf>
    <xf numFmtId="0" fontId="0" fillId="0" borderId="0" xfId="0" applyFill="1" applyBorder="1" applyAlignment="1">
      <alignment horizontal="left" vertical="top" wrapText="1"/>
    </xf>
    <xf numFmtId="0" fontId="7" fillId="31" borderId="37" xfId="0" applyFont="1" applyFill="1" applyBorder="1" applyAlignment="1">
      <alignment horizontal="center" vertical="center" wrapText="1"/>
    </xf>
    <xf numFmtId="0" fontId="7" fillId="31" borderId="38" xfId="0" applyFont="1" applyFill="1" applyBorder="1" applyAlignment="1">
      <alignment horizontal="center" vertical="center" wrapText="1"/>
    </xf>
    <xf numFmtId="0" fontId="7" fillId="31" borderId="39" xfId="0" applyFont="1" applyFill="1" applyBorder="1" applyAlignment="1">
      <alignment horizontal="center" vertical="center"/>
    </xf>
    <xf numFmtId="0" fontId="7" fillId="31" borderId="1" xfId="0" applyFont="1" applyFill="1" applyBorder="1" applyAlignment="1">
      <alignment horizontal="center" vertical="center"/>
    </xf>
    <xf numFmtId="0" fontId="7" fillId="31" borderId="39" xfId="0" applyFont="1" applyFill="1" applyBorder="1" applyAlignment="1">
      <alignment horizontal="center" vertical="center" wrapText="1"/>
    </xf>
    <xf numFmtId="0" fontId="7" fillId="31" borderId="1" xfId="0" applyFont="1" applyFill="1" applyBorder="1" applyAlignment="1">
      <alignment horizontal="center" vertical="center" wrapText="1"/>
    </xf>
    <xf numFmtId="0" fontId="7" fillId="31" borderId="40" xfId="0" applyFont="1" applyFill="1" applyBorder="1" applyAlignment="1">
      <alignment horizontal="center" vertical="center" wrapText="1"/>
    </xf>
    <xf numFmtId="0" fontId="7" fillId="31" borderId="37" xfId="0" applyFont="1" applyFill="1" applyBorder="1" applyAlignment="1">
      <alignment horizontal="center" vertical="center"/>
    </xf>
    <xf numFmtId="0" fontId="7" fillId="31" borderId="38" xfId="0" applyFont="1" applyFill="1" applyBorder="1" applyAlignment="1">
      <alignment horizontal="center" vertical="center"/>
    </xf>
    <xf numFmtId="0" fontId="7" fillId="31" borderId="3" xfId="0" applyFont="1" applyFill="1" applyBorder="1" applyAlignment="1">
      <alignment horizontal="center" vertical="center"/>
    </xf>
    <xf numFmtId="0" fontId="7" fillId="31" borderId="4" xfId="0" applyFont="1" applyFill="1" applyBorder="1" applyAlignment="1">
      <alignment horizontal="center" vertical="center"/>
    </xf>
    <xf numFmtId="0" fontId="7" fillId="31" borderId="5" xfId="0" applyFont="1" applyFill="1" applyBorder="1" applyAlignment="1">
      <alignment horizontal="center" vertical="center"/>
    </xf>
    <xf numFmtId="0" fontId="7" fillId="31" borderId="40" xfId="0" applyFont="1" applyFill="1" applyBorder="1" applyAlignment="1">
      <alignment horizontal="center" vertical="center"/>
    </xf>
    <xf numFmtId="0" fontId="7" fillId="0" borderId="1" xfId="0" applyFont="1" applyBorder="1" applyAlignment="1">
      <alignment horizontal="center" vertical="center"/>
    </xf>
    <xf numFmtId="0" fontId="7" fillId="0" borderId="40" xfId="0" applyFont="1" applyBorder="1" applyAlignment="1">
      <alignment horizontal="center" vertical="center"/>
    </xf>
    <xf numFmtId="0" fontId="7" fillId="0" borderId="39" xfId="0" applyFont="1" applyBorder="1" applyAlignment="1">
      <alignment horizontal="center" vertical="center"/>
    </xf>
    <xf numFmtId="0" fontId="7" fillId="31" borderId="14" xfId="0" applyFont="1" applyFill="1" applyBorder="1" applyAlignment="1">
      <alignment horizontal="center" vertical="center"/>
    </xf>
    <xf numFmtId="0" fontId="7" fillId="31" borderId="19" xfId="0" applyFont="1" applyFill="1" applyBorder="1" applyAlignment="1">
      <alignment horizontal="center" vertical="center"/>
    </xf>
    <xf numFmtId="0" fontId="7" fillId="31" borderId="15" xfId="0" applyFont="1" applyFill="1" applyBorder="1" applyAlignment="1">
      <alignment horizontal="center" vertical="center"/>
    </xf>
    <xf numFmtId="0" fontId="9" fillId="31" borderId="71" xfId="0" applyFont="1" applyFill="1" applyBorder="1" applyAlignment="1">
      <alignment horizontal="center" vertical="center"/>
    </xf>
    <xf numFmtId="0" fontId="9" fillId="31" borderId="72" xfId="0" applyFont="1" applyFill="1" applyBorder="1" applyAlignment="1">
      <alignment horizontal="center" vertical="center"/>
    </xf>
    <xf numFmtId="0" fontId="7" fillId="0" borderId="0" xfId="0" applyFont="1" applyAlignment="1">
      <alignment horizontal="left"/>
    </xf>
    <xf numFmtId="0" fontId="0" fillId="31" borderId="2" xfId="0" applyFill="1" applyBorder="1" applyAlignment="1">
      <alignment horizontal="center"/>
    </xf>
    <xf numFmtId="0" fontId="8" fillId="28" borderId="43" xfId="0" applyFont="1" applyFill="1" applyBorder="1" applyAlignment="1">
      <alignment horizontal="center" vertical="center"/>
    </xf>
    <xf numFmtId="0" fontId="8" fillId="28" borderId="44" xfId="0" applyFont="1" applyFill="1" applyBorder="1" applyAlignment="1">
      <alignment horizontal="center" vertical="center"/>
    </xf>
    <xf numFmtId="0" fontId="8" fillId="28" borderId="45" xfId="0" applyFont="1" applyFill="1" applyBorder="1" applyAlignment="1">
      <alignment horizontal="center" vertical="center"/>
    </xf>
    <xf numFmtId="0" fontId="8" fillId="29" borderId="16" xfId="0" applyFont="1" applyFill="1" applyBorder="1" applyAlignment="1">
      <alignment horizontal="center"/>
    </xf>
    <xf numFmtId="0" fontId="8" fillId="29" borderId="18" xfId="0" applyFont="1" applyFill="1" applyBorder="1" applyAlignment="1">
      <alignment horizontal="center"/>
    </xf>
    <xf numFmtId="0" fontId="8" fillId="29" borderId="17" xfId="0" applyFont="1" applyFill="1" applyBorder="1" applyAlignment="1">
      <alignment horizontal="center"/>
    </xf>
    <xf numFmtId="0" fontId="8" fillId="29" borderId="2" xfId="0" applyFont="1" applyFill="1" applyBorder="1" applyAlignment="1">
      <alignment horizontal="center"/>
    </xf>
    <xf numFmtId="0" fontId="3" fillId="0" borderId="0" xfId="1" applyBorder="1" applyAlignment="1">
      <alignment horizontal="left"/>
    </xf>
    <xf numFmtId="14" fontId="0" fillId="0" borderId="0" xfId="0" applyNumberFormat="1" applyBorder="1" applyAlignment="1">
      <alignment horizontal="left"/>
    </xf>
    <xf numFmtId="0" fontId="0" fillId="0" borderId="0" xfId="0" applyBorder="1" applyAlignment="1">
      <alignment horizontal="left"/>
    </xf>
    <xf numFmtId="0" fontId="8" fillId="29" borderId="50" xfId="0" applyFont="1" applyFill="1" applyBorder="1" applyAlignment="1">
      <alignment horizontal="center"/>
    </xf>
    <xf numFmtId="0" fontId="8" fillId="29" borderId="48" xfId="0" applyFont="1" applyFill="1" applyBorder="1" applyAlignment="1">
      <alignment horizontal="center"/>
    </xf>
  </cellXfs>
  <cellStyles count="329">
    <cellStyle name="%" xfId="221" xr:uid="{B3824178-9D6D-4F1C-AC36-B687945D2545}"/>
    <cellStyle name="20% - Accent1" xfId="290" builtinId="30" customBuiltin="1"/>
    <cellStyle name="20% - Accent1 2" xfId="195" xr:uid="{7A047519-5F69-4B0A-A3AD-864CFC801634}"/>
    <cellStyle name="20% - Accent1 2 2" xfId="78" xr:uid="{B142D060-42C0-48F4-88FF-47F6B04A83B7}"/>
    <cellStyle name="20% - Accent1 2 2 2" xfId="224" xr:uid="{A00E8911-1593-4920-BDDB-63169DC8C584}"/>
    <cellStyle name="20% - Accent1 2 2 3" xfId="35" xr:uid="{206CC187-6A85-472D-805E-F46B31F40F4E}"/>
    <cellStyle name="20% - Accent2" xfId="294" builtinId="34" customBuiltin="1"/>
    <cellStyle name="20% - Accent2 2" xfId="188" xr:uid="{1651D4DE-A867-43D6-8FFD-7EC3262DFA90}"/>
    <cellStyle name="20% - Accent2 2 2" xfId="111" xr:uid="{A7E5C0E4-B0D0-4372-84F0-D82C4071DB4B}"/>
    <cellStyle name="20% - Accent2 2 2 2" xfId="210" xr:uid="{351665A4-F4A1-43ED-8DBB-D30348D2AC1F}"/>
    <cellStyle name="20% - Accent2 2 2 3" xfId="119" xr:uid="{4C715E07-3141-404F-A4D9-2007D63DDDB7}"/>
    <cellStyle name="20% - Accent3" xfId="298" builtinId="38" customBuiltin="1"/>
    <cellStyle name="20% - Accent3 2" xfId="264" xr:uid="{00BE7047-24F6-4B26-8DA5-CAC22E71815A}"/>
    <cellStyle name="20% - Accent3 2 2" xfId="113" xr:uid="{6B5F4946-94E6-4D2A-991D-20921E954B95}"/>
    <cellStyle name="20% - Accent3 2 2 2" xfId="270" xr:uid="{1D88C1B2-0208-4C34-A8EB-D32979DF9DAA}"/>
    <cellStyle name="20% - Accent3 2 2 3" xfId="171" xr:uid="{8A453B50-59DC-4122-A5BB-ED6EE8631222}"/>
    <cellStyle name="20% - Accent4" xfId="302" builtinId="42" customBuiltin="1"/>
    <cellStyle name="20% - Accent4 2" xfId="244" xr:uid="{948722B2-5F3B-4D4A-974E-FF85FE196463}"/>
    <cellStyle name="20% - Accent4 2 2" xfId="179" xr:uid="{675374B2-1B82-421D-9251-1DD3F96F57F4}"/>
    <cellStyle name="20% - Accent4 2 2 2" xfId="200" xr:uid="{332DBA85-E93C-4E1E-A1F8-43CB454E8554}"/>
    <cellStyle name="20% - Accent4 2 2 3" xfId="247" xr:uid="{42F02A56-78F3-49B7-AC8C-84CDF546B6DF}"/>
    <cellStyle name="20% - Accent5" xfId="306" builtinId="46" customBuiltin="1"/>
    <cellStyle name="20% - Accent5 2" xfId="265" xr:uid="{13A169DA-AB59-409E-A193-0445ED6B92FC}"/>
    <cellStyle name="20% - Accent5 2 2" xfId="129" xr:uid="{8D8410B7-5037-4053-A615-E78AEE03F16F}"/>
    <cellStyle name="20% - Accent5 2 2 2" xfId="92" xr:uid="{0E4B9E1A-172A-4348-9DF3-E51DA6B3D734}"/>
    <cellStyle name="20% - Accent5 2 2 3" xfId="25" xr:uid="{78006CA6-DFA4-4BE1-ADF4-7E3F05BBB15C}"/>
    <cellStyle name="20% - Accent6" xfId="310" builtinId="50" customBuiltin="1"/>
    <cellStyle name="20% - Accent6 2" xfId="71" xr:uid="{48E88641-9A82-4B80-8B7A-08FE7EE7BED8}"/>
    <cellStyle name="20% - Accent6 2 2" xfId="280" xr:uid="{E6D1B4CA-BDEE-40DC-82C8-4CE1C92FE555}"/>
    <cellStyle name="20% - Accent6 2 2 2" xfId="151" xr:uid="{892B33C5-C70F-49DF-ACCA-B006CF30778D}"/>
    <cellStyle name="20% - Accent6 2 2 3" xfId="34" xr:uid="{D832EF9D-8651-41AB-808A-8C7F21FB6519}"/>
    <cellStyle name="40% - Accent1" xfId="291" builtinId="31" customBuiltin="1"/>
    <cellStyle name="40% - Accent1 2" xfId="105" xr:uid="{07388F84-8645-4876-AB77-8087042ACDB1}"/>
    <cellStyle name="40% - Accent1 2 2" xfId="165" xr:uid="{A1F67B9B-8F09-4C21-89E1-AB75B245B50F}"/>
    <cellStyle name="40% - Accent1 2 2 2" xfId="127" xr:uid="{CE612256-B49E-4DD8-B4FB-E2DCEABA1450}"/>
    <cellStyle name="40% - Accent1 2 2 3" xfId="38" xr:uid="{7024A4D1-F073-4378-A3D6-505414C65202}"/>
    <cellStyle name="40% - Accent2" xfId="295" builtinId="35" customBuiltin="1"/>
    <cellStyle name="40% - Accent2 2" xfId="245" xr:uid="{432AE688-8EEE-4DF9-980C-4114F80572B8}"/>
    <cellStyle name="40% - Accent2 2 2" xfId="202" xr:uid="{F6B92AF7-5F71-49FC-A003-71B3AF1ADAD8}"/>
    <cellStyle name="40% - Accent2 2 2 2" xfId="18" xr:uid="{5B3EDEF9-53B2-4A02-A7FA-7B9BACE90F34}"/>
    <cellStyle name="40% - Accent2 2 2 3" xfId="163" xr:uid="{40471A4B-8ECD-4F12-B3E4-44C79F660B76}"/>
    <cellStyle name="40% - Accent3" xfId="299" builtinId="39" customBuiltin="1"/>
    <cellStyle name="40% - Accent3 2" xfId="19" xr:uid="{17C0F8EC-707E-4EB1-9026-EC21497D9AFD}"/>
    <cellStyle name="40% - Accent3 2 2" xfId="215" xr:uid="{60C967B3-129A-46D1-B262-670703070B35}"/>
    <cellStyle name="40% - Accent3 2 2 2" xfId="228" xr:uid="{410A9DF2-D6F7-4B88-8467-924FD877AAFB}"/>
    <cellStyle name="40% - Accent3 2 2 3" xfId="173" xr:uid="{0AAA885E-FE84-47E7-AB24-7668C8F46239}"/>
    <cellStyle name="40% - Accent4" xfId="303" builtinId="43" customBuiltin="1"/>
    <cellStyle name="40% - Accent4 2" xfId="64" xr:uid="{AE44F908-0117-4EA3-9D8E-214D5BB59478}"/>
    <cellStyle name="40% - Accent4 2 2" xfId="274" xr:uid="{893C9B39-EA09-42B4-A90C-40B920AF400A}"/>
    <cellStyle name="40% - Accent4 2 2 2" xfId="205" xr:uid="{84A4BB76-168C-43DB-A063-0FCFE60DA349}"/>
    <cellStyle name="40% - Accent4 2 2 3" xfId="72" xr:uid="{4300F56F-EC7F-409E-92D3-35FC08872C69}"/>
    <cellStyle name="40% - Accent5" xfId="307" builtinId="47" customBuiltin="1"/>
    <cellStyle name="40% - Accent5 2" xfId="17" xr:uid="{C82B1C64-AF99-434C-AEDB-EE2605147116}"/>
    <cellStyle name="40% - Accent5 2 2" xfId="140" xr:uid="{26F14A08-3C3C-4B3B-B4CF-8229966328A0}"/>
    <cellStyle name="40% - Accent5 2 2 2" xfId="94" xr:uid="{75FF36EF-D566-4848-BFD9-D4E1DD3C2507}"/>
    <cellStyle name="40% - Accent5 2 2 3" xfId="14" xr:uid="{451C71C5-3B94-4573-A415-47CAA8ABFCBA}"/>
    <cellStyle name="40% - Accent6" xfId="311" builtinId="51" customBuiltin="1"/>
    <cellStyle name="40% - Accent6 2" xfId="167" xr:uid="{BBE1A2CD-35F6-4656-9CF4-D4C11DD7A327}"/>
    <cellStyle name="40% - Accent6 2 2" xfId="249" xr:uid="{08057416-8AD4-48E2-BF7D-20D9832C6B9F}"/>
    <cellStyle name="40% - Accent6 2 2 2" xfId="104" xr:uid="{04F0F859-CC05-4C65-A05D-87809DF46793}"/>
    <cellStyle name="40% - Accent6 2 2 3" xfId="164" xr:uid="{41CF4ED9-100A-4C45-87A6-BF92143B3751}"/>
    <cellStyle name="5x indented GHG Textfiels" xfId="122" xr:uid="{D023E408-DF1D-4968-8E45-17879056EF17}"/>
    <cellStyle name="60% - Accent1" xfId="292" builtinId="32" customBuiltin="1"/>
    <cellStyle name="60% - Accent1 2" xfId="23" xr:uid="{65BCFE5A-4235-4068-AA49-B61E60AC5E1D}"/>
    <cellStyle name="60% - Accent1 2 2" xfId="174" xr:uid="{4C4329A4-40E3-4F6C-B252-1848225FA7FE}"/>
    <cellStyle name="60% - Accent1 2 2 2" xfId="56" xr:uid="{2EBFEEDA-0DB4-47BF-939B-B11D58E2F201}"/>
    <cellStyle name="60% - Accent1 2 2 3" xfId="125" xr:uid="{002F6538-D7AC-425B-90F2-4E9203DFBDC7}"/>
    <cellStyle name="60% - Accent2" xfId="296" builtinId="36" customBuiltin="1"/>
    <cellStyle name="60% - Accent2 2" xfId="185" xr:uid="{4CEFB5C8-7EE9-4B1A-8FDC-DDAFD709DC64}"/>
    <cellStyle name="60% - Accent2 2 2" xfId="33" xr:uid="{ED7DD3B0-674F-472F-A751-E8B4F8634EA1}"/>
    <cellStyle name="60% - Accent2 2 2 2" xfId="10" xr:uid="{A1BA8A8E-6EE9-4DEC-85A2-75A98BE79481}"/>
    <cellStyle name="60% - Accent2 2 2 3" xfId="126" xr:uid="{BE05FBDB-32DA-4E20-B48C-D6F79A8A1FF9}"/>
    <cellStyle name="60% - Accent3" xfId="300" builtinId="40" customBuiltin="1"/>
    <cellStyle name="60% - Accent3 2" xfId="9" xr:uid="{A0C0BA06-69EB-43C5-8BBD-861097834F4A}"/>
    <cellStyle name="60% - Accent3 2 2" xfId="75" xr:uid="{D3E1E201-8C84-4A6D-8C70-0F75E2198019}"/>
    <cellStyle name="60% - Accent3 2 2 2" xfId="120" xr:uid="{FEF908C8-A520-47E2-8DC5-F73FE5959FCF}"/>
    <cellStyle name="60% - Accent3 2 2 3" xfId="106" xr:uid="{D542651F-191F-46EA-AFDB-9D39F3592CF5}"/>
    <cellStyle name="60% - Accent4" xfId="304" builtinId="44" customBuiltin="1"/>
    <cellStyle name="60% - Accent4 2" xfId="77" xr:uid="{9E25DC4C-017F-41A7-983E-E25C8C0997A9}"/>
    <cellStyle name="60% - Accent4 2 2" xfId="199" xr:uid="{1511B76E-6866-4C78-8BEF-C12F4BF4986A}"/>
    <cellStyle name="60% - Accent4 2 2 2" xfId="144" xr:uid="{0FCE6712-EA20-4A58-8BE2-B9B433EE3228}"/>
    <cellStyle name="60% - Accent4 2 2 3" xfId="272" xr:uid="{85BB2620-B7D2-4533-A337-9326E657835C}"/>
    <cellStyle name="60% - Accent5" xfId="308" builtinId="48" customBuiltin="1"/>
    <cellStyle name="60% - Accent5 2" xfId="208" xr:uid="{1B016D5E-3B2C-4D82-9A44-D40C9B51316A}"/>
    <cellStyle name="60% - Accent5 2 2" xfId="91" xr:uid="{8F7F8CAA-CE48-48F8-B038-398B82D51D2E}"/>
    <cellStyle name="60% - Accent5 2 2 2" xfId="239" xr:uid="{06093B37-F23A-490D-82BE-726C194600CB}"/>
    <cellStyle name="60% - Accent5 2 2 3" xfId="87" xr:uid="{FEA44730-FF79-43B7-80FB-3AFE1EB08855}"/>
    <cellStyle name="60% - Accent6" xfId="312" builtinId="52" customBuiltin="1"/>
    <cellStyle name="60% - Accent6 2" xfId="143" xr:uid="{88AB7C35-ADE9-4191-802B-D4A2AD3EBF39}"/>
    <cellStyle name="60% - Accent6 2 2" xfId="201" xr:uid="{FC6CF5E2-6A8F-4A6B-84F6-DC7537338D0E}"/>
    <cellStyle name="60% - Accent6 2 2 2" xfId="246" xr:uid="{E31EEC39-4343-4D2A-96FC-0A7373AC1909}"/>
    <cellStyle name="60% - Accent6 2 2 3" xfId="256" xr:uid="{24DF9DC3-339D-427F-8A61-4EAE5EB55695}"/>
    <cellStyle name="Accent1" xfId="289" builtinId="29" customBuiltin="1"/>
    <cellStyle name="Accent1 2" xfId="255" xr:uid="{3F71130A-3CAE-4524-9FA0-323C28F9B517}"/>
    <cellStyle name="Accent1 2 2" xfId="263" xr:uid="{BF78FA00-4B9F-4B4E-B3BF-2818918A18D8}"/>
    <cellStyle name="Accent1 2 2 2" xfId="93" xr:uid="{E5161429-44E7-4647-A1BD-B3D0413E0F9D}"/>
    <cellStyle name="Accent1 2 2 3" xfId="281" xr:uid="{9ED2CF5C-CD78-4565-A60E-35E9D6AD2241}"/>
    <cellStyle name="Accent2" xfId="293" builtinId="33" customBuiltin="1"/>
    <cellStyle name="Accent2 2" xfId="248" xr:uid="{E52B5E1A-101D-4324-ADE4-1C154B653BF3}"/>
    <cellStyle name="Accent2 2 2" xfId="107" xr:uid="{3A69ECC3-47EC-4941-99E6-FD84CEC1ADC7}"/>
    <cellStyle name="Accent2 2 2 2" xfId="229" xr:uid="{3FF24C82-3997-4668-8B64-A68266C643C5}"/>
    <cellStyle name="Accent2 2 2 3" xfId="157" xr:uid="{28B20FD3-305A-45CB-92DF-ECD4F0658199}"/>
    <cellStyle name="Accent3" xfId="297" builtinId="37" customBuiltin="1"/>
    <cellStyle name="Accent3 2" xfId="98" xr:uid="{AC875834-ECD0-490A-A84B-87F6BDE15C5F}"/>
    <cellStyle name="Accent3 2 2" xfId="101" xr:uid="{54EC00FA-9691-485B-9491-D7E8A3E18ABF}"/>
    <cellStyle name="Accent3 2 2 2" xfId="207" xr:uid="{32905617-98F8-4D80-84DD-59F61E563F6A}"/>
    <cellStyle name="Accent3 2 2 3" xfId="80" xr:uid="{8BA608F6-2AF3-410B-9EEB-06AE50C30110}"/>
    <cellStyle name="Accent4" xfId="301" builtinId="41" customBuiltin="1"/>
    <cellStyle name="Accent4 2" xfId="103" xr:uid="{10EB4260-A266-459F-A5B6-0AF30511BD8A}"/>
    <cellStyle name="Accent4 2 2" xfId="237" xr:uid="{7B4575B0-63E0-41BF-97A7-46E8A38086F7}"/>
    <cellStyle name="Accent4 2 2 2" xfId="41" xr:uid="{8C69F7FE-6B7E-48F4-B1AB-D9D510369023}"/>
    <cellStyle name="Accent4 2 2 3" xfId="227" xr:uid="{D8C05FF9-9F24-4945-8360-FADAEC956F10}"/>
    <cellStyle name="Accent5" xfId="305" builtinId="45" customBuiltin="1"/>
    <cellStyle name="Accent5 2" xfId="45" xr:uid="{D476397E-1115-429E-B894-536FBFEBAA98}"/>
    <cellStyle name="Accent5 2 2" xfId="57" xr:uid="{D13D9378-F283-4F6C-B70C-B1E1DEE4E182}"/>
    <cellStyle name="Accent5 2 2 2" xfId="155" xr:uid="{A715199C-B280-4B5C-8E3D-AB5E9BAC0D2D}"/>
    <cellStyle name="Accent5 2 2 3" xfId="193" xr:uid="{6869FD41-3CF0-42E3-98A7-90A9B5820CCC}"/>
    <cellStyle name="Accent6" xfId="309" builtinId="49" customBuiltin="1"/>
    <cellStyle name="Accent6 2" xfId="243" xr:uid="{5BD5925D-A8A2-4133-BAD2-31C3ABA5FB2C}"/>
    <cellStyle name="Accent6 2 2" xfId="142" xr:uid="{A2B4698E-5AB3-49DD-8804-1C485A07D392}"/>
    <cellStyle name="Accent6 2 2 2" xfId="240" xr:uid="{6D25AB17-96AA-4484-8D32-2F16926E164B}"/>
    <cellStyle name="Accent6 2 2 3" xfId="117" xr:uid="{3DC5398E-B145-4E1D-9819-0468A549D987}"/>
    <cellStyle name="AggblueCels_1x" xfId="79" xr:uid="{43064AF9-D66B-4EE1-938F-D28A7044B593}"/>
    <cellStyle name="Bad" xfId="286" builtinId="27" customBuiltin="1"/>
    <cellStyle name="Bad 2" xfId="259" xr:uid="{88BFC4B4-9D76-41EC-A12C-BE388684E683}"/>
    <cellStyle name="Bad 2 2" xfId="178" xr:uid="{66C151E2-B3D1-4526-8798-B3EC73B900EB}"/>
    <cellStyle name="Bad 2 2 2" xfId="175" xr:uid="{DA2DEABF-EB00-4565-AC22-1D8689BC3506}"/>
    <cellStyle name="Bad 2 2 3" xfId="150" xr:uid="{8DC51A56-111C-412E-B79B-CE8F67ED91A8}"/>
    <cellStyle name="Bold GHG Numbers (0.00)" xfId="65" xr:uid="{DADE53CA-0441-40AE-BCE6-12B1910C2FD8}"/>
    <cellStyle name="Calculation 2" xfId="222" xr:uid="{D31752F9-9DE4-4923-BAD1-BE0BD6A9AF22}"/>
    <cellStyle name="Calculation 2 2" xfId="15" xr:uid="{6D6D2FBE-5A4A-49C4-8798-8E321F7FD45A}"/>
    <cellStyle name="Calculation 2 2 2" xfId="47" xr:uid="{26296AC1-4F82-44E8-9DE3-2335A574BD10}"/>
    <cellStyle name="Calculation 2 2 2 2" xfId="116" xr:uid="{FCDC1441-9FA4-45D3-AEFC-9D918151E990}"/>
    <cellStyle name="Calculation 2 2 2 3" xfId="36" xr:uid="{D4A8DE78-BB19-4798-BBAF-79E4A719A59D}"/>
    <cellStyle name="Calculation 2 3" xfId="59" xr:uid="{0CACE1C0-C76D-4A63-8E06-54F74CDA87BB}"/>
    <cellStyle name="Calculation 2 3 2" xfId="121" xr:uid="{65F9802F-73A6-4AD6-9D14-E3C5E6E1231E}"/>
    <cellStyle name="Calculation 2 3 2 2" xfId="115" xr:uid="{CB70F154-0DC9-4E00-AE9A-11858B80A16D}"/>
    <cellStyle name="Calculation 2 3 2 3" xfId="53" xr:uid="{EE3D9311-9134-4474-9710-7243D099E841}"/>
    <cellStyle name="Calculation 2 4" xfId="283" xr:uid="{E8502592-D42E-4946-848C-476CE825F564}"/>
    <cellStyle name="Calculation 2 4 2" xfId="212" xr:uid="{66A7A664-2C96-47C6-AF47-8B4A1EAC064C}"/>
    <cellStyle name="Calculation 2 4 3" xfId="138" xr:uid="{CEC2D0DF-D71C-4EDA-9EA2-5315C61046D2}"/>
    <cellStyle name="Calculation 2 5" xfId="315" xr:uid="{56E0434D-5094-40E2-B135-BA44CEAD8A82}"/>
    <cellStyle name="Calculation 3" xfId="314" xr:uid="{AA843ED4-2A3C-4B9A-867E-0BD19B50C2D8}"/>
    <cellStyle name="Check Cell" xfId="288" builtinId="23" customBuiltin="1"/>
    <cellStyle name="Check Cell 2" xfId="74" xr:uid="{4BAE4F91-335C-4682-BF35-AA2FBFDF1421}"/>
    <cellStyle name="Check Cell 2 2" xfId="66" xr:uid="{3D26347B-5914-4880-BD1C-D16095235350}"/>
    <cellStyle name="Check Cell 2 2 2" xfId="261" xr:uid="{E4AC8DAF-B8EB-490C-B4F5-14AA3DDB280E}"/>
    <cellStyle name="Check Cell 2 2 3" xfId="225" xr:uid="{63172AA4-42F8-4328-9930-A42F34C0EB9C}"/>
    <cellStyle name="Comma" xfId="6" builtinId="3"/>
    <cellStyle name="Comma 2" xfId="50" xr:uid="{6D8F3F7E-3BC8-405A-B103-256000C2CBCF}"/>
    <cellStyle name="Comma 2 2" xfId="213" xr:uid="{1B633E90-500B-4FE5-A38A-0C1CDAAD8C6A}"/>
    <cellStyle name="Comma 2 3" xfId="166" xr:uid="{7A8FEDB5-9292-4806-A318-8CEA3D685E31}"/>
    <cellStyle name="Comma 2 4" xfId="187" xr:uid="{E92B58CC-6A88-4599-8A98-6F9DA57559D1}"/>
    <cellStyle name="Comma 2 5" xfId="317" xr:uid="{BD568FBD-3CCB-4079-8F5A-F4D93C8F0F33}"/>
    <cellStyle name="Comma 3" xfId="102" xr:uid="{57D61EA2-CF79-4204-B423-DB127F2F74E7}"/>
    <cellStyle name="Comma 4" xfId="68" xr:uid="{2D6F1CDB-50F2-4F59-A908-ADEAE941D526}"/>
    <cellStyle name="Comma 5" xfId="316" xr:uid="{8CA78E61-164B-4D6F-83A6-34A0C8A8873F}"/>
    <cellStyle name="Cover" xfId="217" xr:uid="{C1085DB9-0B31-4ED6-9B98-D0545FA9F50C}"/>
    <cellStyle name="Currency 2" xfId="4" xr:uid="{7E84B6A9-385C-40CC-B137-17F06ECC8C0A}"/>
    <cellStyle name="Dezimal [0]_Tfz-Anzahl" xfId="99" xr:uid="{878EB393-6F43-4631-BE12-E80925E49239}"/>
    <cellStyle name="Dezimal_Tfz-Anzahl" xfId="123" xr:uid="{B69FDF31-00A1-4D95-8845-C6F41158D3F1}"/>
    <cellStyle name="Euro" xfId="177" xr:uid="{217E4202-13CD-468C-831B-AC432E869FB8}"/>
    <cellStyle name="Euro 2" xfId="181" xr:uid="{BC9C38DA-66C6-499E-AF77-5946FC69035E}"/>
    <cellStyle name="Explanatory Text 2" xfId="73" xr:uid="{8739ACAD-3DB8-4923-A82B-4611D958BCEC}"/>
    <cellStyle name="Explanatory Text 3" xfId="318" xr:uid="{33688291-B4D9-4B51-ADD0-C2CC33196733}"/>
    <cellStyle name="Followed Hyperlink 2" xfId="319" xr:uid="{21EE48F7-0255-44FD-94A2-4478E24E3E6F}"/>
    <cellStyle name="Good" xfId="285" builtinId="26" customBuiltin="1"/>
    <cellStyle name="Good 2" xfId="191" xr:uid="{0B72EC81-FC8C-4EAA-A71A-886422957235}"/>
    <cellStyle name="Good 2 2" xfId="218" xr:uid="{7CD31B8F-BEDC-41A7-8F77-655ED3298868}"/>
    <cellStyle name="Good 2 2 2" xfId="230" xr:uid="{33536C2E-52F6-4310-B732-829CF61A8C99}"/>
    <cellStyle name="Good 2 2 3" xfId="198" xr:uid="{73551EC8-887E-4FD5-A53A-048276EDE57A}"/>
    <cellStyle name="Heading" xfId="145" xr:uid="{5478955F-9AAD-435C-99A5-F143C20E0AA7}"/>
    <cellStyle name="Heading 1 2" xfId="148" xr:uid="{259317DF-D017-4C69-95EA-7E894D484E4D}"/>
    <cellStyle name="Heading 2 2" xfId="251" xr:uid="{11E3943C-A39C-48E5-AF38-8CBC49C6644A}"/>
    <cellStyle name="Heading 3 2" xfId="51" xr:uid="{A27C9939-0AA2-4C50-BB8C-24973D89D88D}"/>
    <cellStyle name="Heading 4 2" xfId="90" xr:uid="{694EA197-09A7-4A95-89BA-702518B8D309}"/>
    <cellStyle name="Hyperlink" xfId="1" builtinId="8"/>
    <cellStyle name="Hyperlink 2" xfId="235" xr:uid="{C227FB8D-F7A4-43CB-9BA1-2A5F4627400C}"/>
    <cellStyle name="Hyperlink 3" xfId="262" xr:uid="{C384E84B-33CA-47BB-9CA1-2D0185453E89}"/>
    <cellStyle name="Hyperlink 4" xfId="42" xr:uid="{10D8B6A9-A85E-41E2-8EE5-2A7502BAA269}"/>
    <cellStyle name="Hyperlink 5" xfId="268" xr:uid="{28000259-132C-442B-B574-09C2A13B460A}"/>
    <cellStyle name="Hyperlink 6" xfId="232" xr:uid="{73674DD2-B5E2-46BA-A8FD-25DA674214E5}"/>
    <cellStyle name="Hyperlink 7" xfId="320" xr:uid="{305C775A-8332-4D60-98A3-02B8E1EE8903}"/>
    <cellStyle name="Input 2" xfId="62" xr:uid="{72E832B3-54C4-46BC-9906-B5B3F0472BA0}"/>
    <cellStyle name="Input 2 2" xfId="231" xr:uid="{6A681655-3312-4259-B9B8-4073428D6641}"/>
    <cellStyle name="Input 2 2 2" xfId="226" xr:uid="{A8061B5A-14E1-4336-BF4A-AAC6C23E2D38}"/>
    <cellStyle name="Input 2 2 2 2" xfId="55" xr:uid="{BECD91F3-86E8-48E4-AC4F-F1169CF9A51D}"/>
    <cellStyle name="Input 2 2 2 3" xfId="67" xr:uid="{B0D2CA48-8BB7-4EA1-9227-1572D6985D0B}"/>
    <cellStyle name="Input 2 3" xfId="40" xr:uid="{3C7F85F2-BEBE-479D-8A75-EE16DE7D2991}"/>
    <cellStyle name="Input 2 3 2" xfId="254" xr:uid="{547DADEB-5CC4-4A1F-B8F9-CD54EA95A5DC}"/>
    <cellStyle name="Input 2 3 2 2" xfId="236" xr:uid="{3607FB34-09C9-4F8C-90AE-D09F69999E12}"/>
    <cellStyle name="Input 2 3 2 3" xfId="20" xr:uid="{EB87ED30-ED79-472F-A988-EB509E6A2271}"/>
    <cellStyle name="Input 2 4" xfId="238" xr:uid="{320CDFCD-2D8A-4AE4-A300-C99DC0A761AD}"/>
    <cellStyle name="Input 2 4 2" xfId="84" xr:uid="{E12CE254-B83C-46AA-91E1-4DF8366B1EBD}"/>
    <cellStyle name="Input 2 4 3" xfId="89" xr:uid="{67D017C6-AA78-4B2B-B782-E14D7C477098}"/>
    <cellStyle name="Input 3" xfId="321" xr:uid="{68622D16-1A18-470A-972D-71A6344DC65E}"/>
    <cellStyle name="Input data" xfId="322" xr:uid="{0420AF7F-27C8-42FF-BC4B-9DB26D1825AA}"/>
    <cellStyle name="InputCells12_BBorder_CRFReport-template" xfId="203" xr:uid="{43621B2D-8666-4C60-94E1-88C2B9B74835}"/>
    <cellStyle name="Linked Cell 2" xfId="149" xr:uid="{A9D245B0-0656-4BEF-906E-79A1F5923C15}"/>
    <cellStyle name="Linked Cell 3" xfId="323" xr:uid="{68B52DF1-8309-476D-B83F-84FBA2E8B70C}"/>
    <cellStyle name="Menu" xfId="21" xr:uid="{0955B780-75C6-4A10-84CA-EB348408AE2F}"/>
    <cellStyle name="Milliers [0]_03tabmat" xfId="16" xr:uid="{DD99C9D7-2948-4111-A1FE-E5582922030A}"/>
    <cellStyle name="Milliers_03tabmat" xfId="61" xr:uid="{A61807E0-C9E5-43F2-9BCC-67D933A68267}"/>
    <cellStyle name="Monétaire [0]_03tabmat" xfId="192" xr:uid="{8C09E48F-DD59-45D1-8953-7ABB413D5194}"/>
    <cellStyle name="Monétaire_03tabmat" xfId="209" xr:uid="{2522D231-18EF-4F47-AFA1-43568C4090A3}"/>
    <cellStyle name="Neutral" xfId="287" builtinId="28" customBuiltin="1"/>
    <cellStyle name="Neutral 2" xfId="128" xr:uid="{95BB1768-5C7D-4086-87FB-C705E5EED294}"/>
    <cellStyle name="Neutral 2 2" xfId="32" xr:uid="{FE56AED8-673B-4F11-A4D0-E2B5195A3260}"/>
    <cellStyle name="Neutral 2 2 2" xfId="219" xr:uid="{42473607-D8B7-4612-99B5-A480CDE1DAE0}"/>
    <cellStyle name="Neutral 2 2 3" xfId="257" xr:uid="{6A809E06-677D-4E2B-8E6A-A7A76D4D7CAE}"/>
    <cellStyle name="Normal" xfId="0" builtinId="0"/>
    <cellStyle name="Normal 10" xfId="69" xr:uid="{7E2582F9-4280-4DE8-A0AC-4839F9A6865A}"/>
    <cellStyle name="Normal 10 2" xfId="196" xr:uid="{9A38A057-68BF-4ACB-8A68-73B6732E86D4}"/>
    <cellStyle name="Normal 10 2 2" xfId="112" xr:uid="{9A0B36B6-B69C-4B0D-9DAC-3B37B96EF723}"/>
    <cellStyle name="Normal 10 3" xfId="273" xr:uid="{0FF80AEB-28B8-4430-BE0C-48E9EC2A8E1D}"/>
    <cellStyle name="Normal 10 3 2" xfId="204" xr:uid="{BA86DB6A-4707-411A-86D9-E354B335024F}"/>
    <cellStyle name="Normal 10 4" xfId="30" xr:uid="{4703AEE0-CA51-48B6-A9AB-414136F76688}"/>
    <cellStyle name="Normal 11" xfId="137" xr:uid="{0E7688A7-2A62-4E46-B1CD-1E42FF1C196A}"/>
    <cellStyle name="Normal 11 2" xfId="282" xr:uid="{40566E07-8C53-4212-A79C-01BE40727F99}"/>
    <cellStyle name="Normal 12" xfId="233" xr:uid="{D4BA85D5-39C4-4500-9795-711B5CB42EFB}"/>
    <cellStyle name="Normal 13" xfId="214" xr:uid="{34C38B49-E45F-4F23-99DC-6E26CBA16074}"/>
    <cellStyle name="Normal 13 2" xfId="197" xr:uid="{B14F7209-6591-4FBE-8944-A285D2F7222E}"/>
    <cellStyle name="Normal 13 3" xfId="136" xr:uid="{44B94A4C-EB7B-448B-B2B8-6B1D9FCB9F2D}"/>
    <cellStyle name="Normal 14" xfId="11" xr:uid="{AF11C518-8002-48E4-8865-82D8BE6A1AE1}"/>
    <cellStyle name="Normal 15" xfId="108" xr:uid="{328AC051-7DCF-4559-B96C-0CC3FC92A774}"/>
    <cellStyle name="Normal 16" xfId="313" xr:uid="{51E1761D-90F9-4C80-A771-F2D30DC7D11D}"/>
    <cellStyle name="Normal 17" xfId="86" xr:uid="{4806D1A5-C131-4504-ADBC-54213978DF68}"/>
    <cellStyle name="Normal 18" xfId="139" xr:uid="{88E6FE6F-6640-4FE0-B97B-B2FC18B2F832}"/>
    <cellStyle name="Normal 2" xfId="2" xr:uid="{D2CDD704-6E0C-4C37-945F-0E34BD1A7C45}"/>
    <cellStyle name="Normal 2 2" xfId="242" xr:uid="{2493740A-2936-4D01-9364-9FB7F84E63B0}"/>
    <cellStyle name="Normal 2 2 2" xfId="5" xr:uid="{3FB32369-1781-4260-91A2-5F4114874917}"/>
    <cellStyle name="Normal 2 3" xfId="100" xr:uid="{B60D044B-AE3C-4192-A9E3-6B6DD935EB3B}"/>
    <cellStyle name="Normal 3" xfId="3" xr:uid="{6DE3A57C-D678-4231-A6AE-C22CD61FB03B}"/>
    <cellStyle name="Normal 3 2" xfId="186" xr:uid="{A0C06DB5-1D7F-47F7-9638-0AE03AD6C929}"/>
    <cellStyle name="Normal 3 3" xfId="44" xr:uid="{29CFDA12-4E75-4B1C-BAA7-667F133CA87E}"/>
    <cellStyle name="Normal 3 4" xfId="24" xr:uid="{461409C2-0865-4E6E-991C-A5DE272F1764}"/>
    <cellStyle name="Normal 3 5" xfId="154" xr:uid="{6DBFCF33-EB55-4A2F-B82E-B562D11223E3}"/>
    <cellStyle name="Normal 4" xfId="170" xr:uid="{0BA3D03C-ED3D-457E-AB67-B169CCD94242}"/>
    <cellStyle name="Normal 4 2" xfId="96" xr:uid="{4C9CB87A-6F23-4055-899A-BC0E686F45B4}"/>
    <cellStyle name="Normal 4 2 2" xfId="52" xr:uid="{C75630FA-F558-496C-A945-EBAD302DD3DF}"/>
    <cellStyle name="Normal 4 3" xfId="276" xr:uid="{289CC10C-143B-44F2-9CB8-8806F936F8CA}"/>
    <cellStyle name="Normal 4 3 2" xfId="269" xr:uid="{556E8CB6-9DF9-4140-9A47-B5964C803C44}"/>
    <cellStyle name="Normal 4 4" xfId="162" xr:uid="{FE319A37-3166-4141-B9F4-30D1575FCC9F}"/>
    <cellStyle name="Normal 4 5" xfId="85" xr:uid="{A0BC9E83-189C-4178-9889-0D875DB8F20A}"/>
    <cellStyle name="Normal 5" xfId="114" xr:uid="{577385B8-3F78-4BA1-90EF-4C07B74612DD}"/>
    <cellStyle name="Normal 6" xfId="28" xr:uid="{E325E725-B85D-4BBE-B156-4366602C7BC1}"/>
    <cellStyle name="Normal 7" xfId="63" xr:uid="{856D73B4-FBBF-4612-8309-DFB3250EBD64}"/>
    <cellStyle name="Normal 8" xfId="267" xr:uid="{CD80AAF5-B78F-4D24-9F33-FDAFC16C7976}"/>
    <cellStyle name="Normal 9" xfId="131" xr:uid="{9049EEA8-864A-4E0D-A3D1-F23A82C8785B}"/>
    <cellStyle name="Normal GHG-Shade" xfId="110" xr:uid="{1827790D-05A7-4750-94C7-D2151D9B6B1D}"/>
    <cellStyle name="Note 2" xfId="279" xr:uid="{58AEBBCE-D134-4D4E-971C-CB27E3AB25FC}"/>
    <cellStyle name="Note 2 2" xfId="159" xr:uid="{D7A6F289-987B-413E-A369-0CEC9D3C4FB3}"/>
    <cellStyle name="Note 2 2 2" xfId="278" xr:uid="{6AD767F7-1615-4A90-8768-4A86F755CC02}"/>
    <cellStyle name="Note 2 2 2 2" xfId="22" xr:uid="{D8F7D518-4300-43B7-943C-87EB93AF95AC}"/>
    <cellStyle name="Note 2 2 2 3" xfId="29" xr:uid="{6388DDD4-8DA2-45B5-BD95-922C19B31823}"/>
    <cellStyle name="Note 2 3" xfId="95" xr:uid="{4FC6C2FE-9EC8-4DD5-B1C3-2F9D813CE3B9}"/>
    <cellStyle name="Note 2 3 2" xfId="46" xr:uid="{8BE23790-C8EE-4D3B-85EB-E39242E544D2}"/>
    <cellStyle name="Note 2 3 3" xfId="132" xr:uid="{CF6D94E6-2F13-4B97-9F1D-024CA7F35D3F}"/>
    <cellStyle name="Note 3" xfId="324" xr:uid="{0820BA02-0BCE-47BA-BC47-E55D162BF923}"/>
    <cellStyle name="Output 2" xfId="176" xr:uid="{4CA70222-EBD8-4F50-9B67-D919618E69C1}"/>
    <cellStyle name="Output 2 2" xfId="180" xr:uid="{9A6F954C-E514-4A73-964F-22370DC7BE99}"/>
    <cellStyle name="Output 2 2 2" xfId="189" xr:uid="{B029D855-F040-4CA4-B3B6-857A9C350D4B}"/>
    <cellStyle name="Output 2 2 2 2" xfId="184" xr:uid="{ACA77CDC-AB42-44D8-B9E7-327CB550E03B}"/>
    <cellStyle name="Output 2 2 2 3" xfId="49" xr:uid="{EA8CDD6E-1CB9-4EEA-B980-083EB2EBFD45}"/>
    <cellStyle name="Output 2 3" xfId="253" xr:uid="{14EB6A15-1F93-4F4E-8028-CFF398E98B32}"/>
    <cellStyle name="Output 2 3 2" xfId="206" xr:uid="{6A1B30D4-C221-4188-8ACF-CEAAA429DC11}"/>
    <cellStyle name="Output 2 3 3" xfId="83" xr:uid="{012F9EE5-2AD3-4422-825E-8E5B463D6444}"/>
    <cellStyle name="Output 3" xfId="325" xr:uid="{C6309940-27BA-4DA5-94E1-063B957F7E15}"/>
    <cellStyle name="Percent" xfId="7" builtinId="5"/>
    <cellStyle name="Percent 10" xfId="58" xr:uid="{26511327-3DE5-4A2A-98F0-B76482295CC2}"/>
    <cellStyle name="Percent 10 2" xfId="118" xr:uid="{BF5F31B0-4FBE-4C21-93C4-09426A56F6B2}"/>
    <cellStyle name="Percent 10 3" xfId="88" xr:uid="{C643BAE0-6B1E-40AD-B1CB-B0CDDAE52FC0}"/>
    <cellStyle name="Percent 2" xfId="172" xr:uid="{DB7F79EB-24AC-4639-8D4D-6356055003B3}"/>
    <cellStyle name="Percent 2 2" xfId="168" xr:uid="{246B43BB-03EE-45F0-89A0-3573FBF527A8}"/>
    <cellStyle name="Percent 2 3" xfId="39" xr:uid="{D006AF8F-6A7C-485F-A65F-EFD2212B074C}"/>
    <cellStyle name="Percent 2 4" xfId="326" xr:uid="{28E37F00-CBD9-4CCC-93FF-5774A2125A14}"/>
    <cellStyle name="Percent 3" xfId="135" xr:uid="{60DC6A3B-59B7-4D1B-83A8-70C435676BD2}"/>
    <cellStyle name="Percent 4" xfId="216" xr:uid="{225868BD-511B-49B9-B620-19FCD7D169D1}"/>
    <cellStyle name="Percent 5" xfId="241" xr:uid="{C596CB24-F290-4A35-BCF1-3B5811D8A75F}"/>
    <cellStyle name="Percent 5 2" xfId="124" xr:uid="{F2A434F1-1452-43D2-9B71-5C332BD361DC}"/>
    <cellStyle name="Percent 6" xfId="211" xr:uid="{BEC0878F-107A-4D69-AE61-0C9EDA492A15}"/>
    <cellStyle name="Percent 7" xfId="141" xr:uid="{9D43C67A-9017-44AC-8990-B6D84AAA2FC5}"/>
    <cellStyle name="Percent 8" xfId="152" xr:uid="{BEEDCF75-563A-4310-B00E-530A164EAC96}"/>
    <cellStyle name="Percent 9" xfId="54" xr:uid="{FC66DAAF-989B-4AC6-828A-4E42F8AB9C3B}"/>
    <cellStyle name="Publication_style" xfId="43" xr:uid="{29C5850D-6009-47BD-9E81-6FDEA6ED87C6}"/>
    <cellStyle name="Refdb standard" xfId="48" xr:uid="{990CD5E5-E92C-46F4-9AEF-350B32CA9DD0}"/>
    <cellStyle name="Refdb standard 2" xfId="160" xr:uid="{6ADF50D5-F577-4F9A-AE66-1A4C4EEAE663}"/>
    <cellStyle name="Selection" xfId="327" xr:uid="{D5D14330-9A40-4031-AB7A-DE5BA6892148}"/>
    <cellStyle name="Shade" xfId="277" xr:uid="{573FD62D-BA41-49A3-8E0B-CDC10B23B1DB}"/>
    <cellStyle name="Shade 2" xfId="27" xr:uid="{5C4DE984-8FDB-4B1E-929F-3EE8D8068A9D}"/>
    <cellStyle name="Shade 3" xfId="37" xr:uid="{85B6365A-A355-4F00-9C93-451B62D2AB3B}"/>
    <cellStyle name="Source" xfId="81" xr:uid="{5E70C608-E819-4761-B4E8-67C771D0ADE5}"/>
    <cellStyle name="Source Hed" xfId="258" xr:uid="{BC41D34E-6694-4307-A13A-CF665CC9E4F0}"/>
    <cellStyle name="Source Text" xfId="133" xr:uid="{4BCB32F4-3A36-4943-A6B7-64F3B062FF19}"/>
    <cellStyle name="Standard_E00seit45" xfId="153" xr:uid="{31F3C5EF-CF7D-4E0D-9F4B-7F2F46D8642F}"/>
    <cellStyle name="Style 21" xfId="146" xr:uid="{0C6BDAF9-C1D7-4F44-811E-63A2B30770C8}"/>
    <cellStyle name="Style 21 2" xfId="31" xr:uid="{A14F250C-0C66-476A-BAE1-71F2257A6BCC}"/>
    <cellStyle name="Style 22" xfId="183" xr:uid="{5AD5EF69-39EB-4E39-AFB6-704ED9BDD20F}"/>
    <cellStyle name="Style 22 2" xfId="8" xr:uid="{4A2BEE19-242C-4C59-9B72-9A1617612560}"/>
    <cellStyle name="Style 23" xfId="26" xr:uid="{9C25263D-3C84-4489-8400-7F402242F42C}"/>
    <cellStyle name="Style 23 2" xfId="271" xr:uid="{7783AE39-A756-4892-ABD6-E0CA7589BD26}"/>
    <cellStyle name="Style 24" xfId="156" xr:uid="{2E53C58B-B3A3-418A-815F-2066D368FCE5}"/>
    <cellStyle name="Style 24 2" xfId="234" xr:uid="{58B869FD-680D-4EC9-BDEE-18E06A0B37BE}"/>
    <cellStyle name="Style 29" xfId="275" xr:uid="{2E2F97AC-3BD4-462A-AE85-C1936FED9DE8}"/>
    <cellStyle name="Style 29 2" xfId="220" xr:uid="{B33B503E-337E-4F38-AFB4-81077056411E}"/>
    <cellStyle name="Style 30" xfId="250" xr:uid="{735B6714-8B2F-4F55-A103-336B30A59FE8}"/>
    <cellStyle name="Style 30 2" xfId="134" xr:uid="{E8EE9EDD-1D08-4C00-9F1D-D545528C8160}"/>
    <cellStyle name="Style 31" xfId="182" xr:uid="{39F173AA-0C85-4812-AD2F-A9713354028A}"/>
    <cellStyle name="Style 31 2" xfId="223" xr:uid="{67093E3B-5F4D-4B7B-8BCF-31A162F79FC6}"/>
    <cellStyle name="Style 32" xfId="13" xr:uid="{8C3828D8-1540-4613-AE8E-2CD95CC09D03}"/>
    <cellStyle name="Style 32 2" xfId="158" xr:uid="{EED4ED91-C9AD-47AF-9472-3EADB20A5653}"/>
    <cellStyle name="Title" xfId="284" builtinId="15" customBuiltin="1"/>
    <cellStyle name="Title 2" xfId="252" xr:uid="{0A139BD8-2EDA-451F-A814-4897DE7313CF}"/>
    <cellStyle name="Title-1" xfId="130" xr:uid="{4BF21C1E-888D-4DBC-98AA-F508755A8DA0}"/>
    <cellStyle name="Title-2" xfId="82" xr:uid="{B9BA8FEB-3F99-4CBC-B2E7-73DF173C8416}"/>
    <cellStyle name="Titre ligne" xfId="266" xr:uid="{1D2B72CC-DF60-48EC-8B24-F5F07A0C2B8F}"/>
    <cellStyle name="Total 2" xfId="70" xr:uid="{6177B0B0-CB9C-41BE-9DD9-86807F37DC46}"/>
    <cellStyle name="Total 2 2" xfId="260" xr:uid="{F31FF038-3ADB-4443-83F6-F44C5ECF438D}"/>
    <cellStyle name="Total intermediaire" xfId="190" xr:uid="{7B31C699-249C-4508-AC51-017EB941467C}"/>
    <cellStyle name="Tusenskille [0]_rob4-mon.xls Diagram 1" xfId="161" xr:uid="{FB3FD574-5E0E-4725-863A-6DC6CECAF315}"/>
    <cellStyle name="Tusenskille_rob4-mon.xls Diagram 1" xfId="12" xr:uid="{EA2C1404-3EC2-4DF1-AC9B-6B8FF62748BC}"/>
    <cellStyle name="Valuta [0]_rob4-mon.xls Diagram 1" xfId="109" xr:uid="{6D4702E3-2AA7-4FB0-B63E-66A9F22301F1}"/>
    <cellStyle name="Valuta_rob4-mon.xls Diagram 1" xfId="97" xr:uid="{3D83078B-0750-403D-A64A-9B67F56E11AA}"/>
    <cellStyle name="Währung [0]_Excel2" xfId="60" xr:uid="{B0D94CF3-3411-4679-B20C-18495A266697}"/>
    <cellStyle name="Währung_Excel2" xfId="194" xr:uid="{F82980B8-B593-44D1-9338-0C0A2EE311F7}"/>
    <cellStyle name="Warning Text 2" xfId="169" xr:uid="{706F8FB5-64F2-41D3-A6E1-AB69EF9FF3A7}"/>
    <cellStyle name="Warning Text 3" xfId="328" xr:uid="{15A75E94-8207-4A7E-AA1C-559FFFFCB306}"/>
    <cellStyle name="Year" xfId="76" xr:uid="{309E8546-D965-4CB4-8FE6-F11DBAE1C607}"/>
    <cellStyle name="Обычный_2++_CRFReport-template" xfId="147" xr:uid="{2242B36D-C11B-4FA7-AB20-E17F1BC08D75}"/>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FDB00"/>
      <color rgb="FF43682B"/>
      <color rgb="FF007078"/>
      <color rgb="FF253746"/>
      <color rgb="FF00C18B"/>
      <color rgb="FF997300"/>
      <color rgb="FF9E480E"/>
      <color rgb="FF327F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'Summary tables'!$E$25</c:f>
              <c:strCache>
                <c:ptCount val="1"/>
                <c:pt idx="0">
                  <c:v>Emissions
(tCO2e)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tables'!$D$26:$D$29</c:f>
              <c:strCache>
                <c:ptCount val="4"/>
                <c:pt idx="0">
                  <c:v>Natural Gas</c:v>
                </c:pt>
                <c:pt idx="1">
                  <c:v>Burning Oil - Kerosene</c:v>
                </c:pt>
                <c:pt idx="2">
                  <c:v>Gas Oil</c:v>
                </c:pt>
                <c:pt idx="3">
                  <c:v>Wood Pellets</c:v>
                </c:pt>
              </c:strCache>
            </c:strRef>
          </c:cat>
          <c:val>
            <c:numRef>
              <c:f>'Summary tables'!$E$26:$E$29</c:f>
              <c:numCache>
                <c:formatCode>#,##0.00</c:formatCode>
                <c:ptCount val="4"/>
                <c:pt idx="0">
                  <c:v>0</c:v>
                </c:pt>
                <c:pt idx="1">
                  <c:v>0</c:v>
                </c:pt>
                <c:pt idx="2">
                  <c:v>0</c:v>
                </c:pt>
                <c:pt idx="3">
                  <c:v>0</c:v>
                </c:pt>
              </c:numCache>
            </c:numRef>
          </c:val>
          <c:extLst>
            <c:ext xmlns:c16="http://schemas.microsoft.com/office/drawing/2014/chart" uri="{C3380CC4-5D6E-409C-BE32-E72D297353CC}">
              <c16:uniqueId val="{00000000-689B-40D8-916C-A13DD62B010C}"/>
            </c:ext>
          </c:extLst>
        </c:ser>
        <c:dLbls>
          <c:dLblPos val="outEnd"/>
          <c:showLegendKey val="0"/>
          <c:showVal val="1"/>
          <c:showCatName val="0"/>
          <c:showSerName val="0"/>
          <c:showPercent val="0"/>
          <c:showBubbleSize val="0"/>
        </c:dLbls>
        <c:gapWidth val="219"/>
        <c:overlap val="-27"/>
        <c:axId val="778001976"/>
        <c:axId val="778000008"/>
      </c:barChart>
      <c:catAx>
        <c:axId val="778001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8000008"/>
        <c:crosses val="autoZero"/>
        <c:auto val="1"/>
        <c:lblAlgn val="ctr"/>
        <c:lblOffset val="100"/>
        <c:noMultiLvlLbl val="0"/>
      </c:catAx>
      <c:valAx>
        <c:axId val="778000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Emissions (tCO2e)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80019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'Summary tables'!#REF!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'Summary tables'!#REF!</c15:sqref>
                        </c15:formulaRef>
                      </c:ext>
                    </c:extLst>
                  </c:multiLvlStrRef>
                </c15:cat>
              </c15:filteredCategoryTitle>
            </c:ext>
            <c:ext xmlns:c16="http://schemas.microsoft.com/office/drawing/2014/chart" uri="{C3380CC4-5D6E-409C-BE32-E72D297353CC}">
              <c16:uniqueId val="{00000000-049A-4329-9234-6A26DEDA1CE9}"/>
            </c:ext>
          </c:extLst>
        </c:ser>
        <c:dLbls>
          <c:dLblPos val="outEnd"/>
          <c:showLegendKey val="0"/>
          <c:showVal val="1"/>
          <c:showCatName val="0"/>
          <c:showSerName val="0"/>
          <c:showPercent val="0"/>
          <c:showBubbleSize val="0"/>
        </c:dLbls>
        <c:gapWidth val="219"/>
        <c:overlap val="-27"/>
        <c:axId val="778001976"/>
        <c:axId val="778000008"/>
      </c:barChart>
      <c:catAx>
        <c:axId val="778001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8000008"/>
        <c:crosses val="autoZero"/>
        <c:auto val="1"/>
        <c:lblAlgn val="ctr"/>
        <c:lblOffset val="100"/>
        <c:noMultiLvlLbl val="0"/>
      </c:catAx>
      <c:valAx>
        <c:axId val="778000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Emissions (tCO2e)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80019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'Summary tables'!$E$25</c:f>
              <c:strCache>
                <c:ptCount val="1"/>
                <c:pt idx="0">
                  <c:v>Emissions
(tCO2e)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'Summary tables'!#REF!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'Summary tables'!#REF!</c15:sqref>
                        </c15:formulaRef>
                      </c:ext>
                    </c:extLst>
                  </c:multiLvlStrRef>
                </c15:cat>
              </c15:filteredCategoryTitle>
            </c:ext>
            <c:ext xmlns:c16="http://schemas.microsoft.com/office/drawing/2014/chart" uri="{C3380CC4-5D6E-409C-BE32-E72D297353CC}">
              <c16:uniqueId val="{00000000-31E3-4CBA-98DC-A51A80B0CBCF}"/>
            </c:ext>
          </c:extLst>
        </c:ser>
        <c:dLbls>
          <c:dLblPos val="outEnd"/>
          <c:showLegendKey val="0"/>
          <c:showVal val="1"/>
          <c:showCatName val="0"/>
          <c:showSerName val="0"/>
          <c:showPercent val="0"/>
          <c:showBubbleSize val="0"/>
        </c:dLbls>
        <c:gapWidth val="219"/>
        <c:overlap val="-27"/>
        <c:axId val="778001976"/>
        <c:axId val="778000008"/>
      </c:barChart>
      <c:catAx>
        <c:axId val="778001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8000008"/>
        <c:crosses val="autoZero"/>
        <c:auto val="1"/>
        <c:lblAlgn val="ctr"/>
        <c:lblOffset val="100"/>
        <c:noMultiLvlLbl val="0"/>
      </c:catAx>
      <c:valAx>
        <c:axId val="778000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Emissions (tCO2e)</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80019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5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'Summary tables'!$E$25</c:f>
              <c:strCache>
                <c:ptCount val="1"/>
                <c:pt idx="0">
                  <c:v>Emissions
(tCO2e)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'Summary tables'!#REF!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'Summary tables'!#REF!</c15:sqref>
                        </c15:formulaRef>
                      </c:ext>
                    </c:extLst>
                  </c:multiLvlStrRef>
                </c15:cat>
              </c15:filteredCategoryTitle>
            </c:ext>
            <c:ext xmlns:c16="http://schemas.microsoft.com/office/drawing/2014/chart" uri="{C3380CC4-5D6E-409C-BE32-E72D297353CC}">
              <c16:uniqueId val="{00000000-474B-4535-8EC8-E511C01BDBF1}"/>
            </c:ext>
          </c:extLst>
        </c:ser>
        <c:dLbls>
          <c:dLblPos val="outEnd"/>
          <c:showLegendKey val="0"/>
          <c:showVal val="1"/>
          <c:showCatName val="0"/>
          <c:showSerName val="0"/>
          <c:showPercent val="0"/>
          <c:showBubbleSize val="0"/>
        </c:dLbls>
        <c:gapWidth val="182"/>
        <c:axId val="470751640"/>
        <c:axId val="470753936"/>
      </c:barChart>
      <c:catAx>
        <c:axId val="470751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753936"/>
        <c:crosses val="autoZero"/>
        <c:auto val="1"/>
        <c:lblAlgn val="ctr"/>
        <c:lblOffset val="100"/>
        <c:noMultiLvlLbl val="0"/>
      </c:catAx>
      <c:valAx>
        <c:axId val="4707539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Emissions (tCO2e)</a:t>
                </a:r>
              </a:p>
            </c:rich>
          </c:tx>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751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5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'Summary tables'!$E$25</c:f>
              <c:strCache>
                <c:ptCount val="1"/>
                <c:pt idx="0">
                  <c:v>Emissions
(tCO2e)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'Summary tables'!#REF!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'Summary tables'!#REF!</c15:sqref>
                        </c15:formulaRef>
                      </c:ext>
                    </c:extLst>
                  </c:multiLvlStrRef>
                </c15:cat>
              </c15:filteredCategoryTitle>
            </c:ext>
            <c:ext xmlns:c16="http://schemas.microsoft.com/office/drawing/2014/chart" uri="{C3380CC4-5D6E-409C-BE32-E72D297353CC}">
              <c16:uniqueId val="{00000000-A6B9-4743-A0CD-1056CFB73E36}"/>
            </c:ext>
          </c:extLst>
        </c:ser>
        <c:dLbls>
          <c:dLblPos val="outEnd"/>
          <c:showLegendKey val="0"/>
          <c:showVal val="1"/>
          <c:showCatName val="0"/>
          <c:showSerName val="0"/>
          <c:showPercent val="0"/>
          <c:showBubbleSize val="0"/>
        </c:dLbls>
        <c:gapWidth val="219"/>
        <c:overlap val="-27"/>
        <c:axId val="462715800"/>
        <c:axId val="462716128"/>
      </c:barChart>
      <c:catAx>
        <c:axId val="462715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2716128"/>
        <c:crosses val="autoZero"/>
        <c:auto val="1"/>
        <c:lblAlgn val="ctr"/>
        <c:lblOffset val="100"/>
        <c:noMultiLvlLbl val="0"/>
      </c:catAx>
      <c:valAx>
        <c:axId val="462716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Emissions (tCO2e)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27158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'Summary tables'!#REF!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'Summary tables'!#REF!</c15:sqref>
                        </c15:formulaRef>
                      </c:ext>
                    </c:extLst>
                  </c:multiLvlStrRef>
                </c15:cat>
              </c15:filteredCategoryTitle>
            </c:ext>
            <c:ext xmlns:c16="http://schemas.microsoft.com/office/drawing/2014/chart" uri="{C3380CC4-5D6E-409C-BE32-E72D297353CC}">
              <c16:uniqueId val="{00000000-0E39-4766-B070-6083F9B8EF21}"/>
            </c:ext>
          </c:extLst>
        </c:ser>
        <c:dLbls>
          <c:dLblPos val="outEnd"/>
          <c:showLegendKey val="0"/>
          <c:showVal val="1"/>
          <c:showCatName val="0"/>
          <c:showSerName val="0"/>
          <c:showPercent val="0"/>
          <c:showBubbleSize val="0"/>
        </c:dLbls>
        <c:gapWidth val="182"/>
        <c:axId val="777609552"/>
        <c:axId val="777603320"/>
      </c:barChart>
      <c:catAx>
        <c:axId val="7776095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7603320"/>
        <c:crosses val="autoZero"/>
        <c:auto val="1"/>
        <c:lblAlgn val="ctr"/>
        <c:lblOffset val="100"/>
        <c:noMultiLvlLbl val="0"/>
      </c:catAx>
      <c:valAx>
        <c:axId val="7776033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Emissions (tCO2e)</a:t>
                </a:r>
              </a:p>
            </c:rich>
          </c:tx>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7609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5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'Summary tables'!$E$25</c:f>
              <c:strCache>
                <c:ptCount val="1"/>
                <c:pt idx="0">
                  <c:v>Emissions
(tCO2e)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tables'!$D$69:$D$70</c:f>
              <c:strCache>
                <c:ptCount val="2"/>
                <c:pt idx="0">
                  <c:v>Building Use </c:v>
                </c:pt>
                <c:pt idx="1">
                  <c:v>#REF!</c:v>
                </c:pt>
              </c:strCache>
            </c:strRef>
          </c:cat>
          <c:val>
            <c:numRef>
              <c:f>'Summary tables'!$E$69:$E$70</c:f>
              <c:numCache>
                <c:formatCode>#,##0.00</c:formatCode>
                <c:ptCount val="2"/>
                <c:pt idx="0">
                  <c:v>7.6680000000000001</c:v>
                </c:pt>
                <c:pt idx="1">
                  <c:v>0</c:v>
                </c:pt>
              </c:numCache>
            </c:numRef>
          </c:val>
          <c:extLst>
            <c:ext xmlns:c16="http://schemas.microsoft.com/office/drawing/2014/chart" uri="{C3380CC4-5D6E-409C-BE32-E72D297353CC}">
              <c16:uniqueId val="{00000000-A80E-41BB-820D-35F4255AC8E5}"/>
            </c:ext>
          </c:extLst>
        </c:ser>
        <c:dLbls>
          <c:dLblPos val="outEnd"/>
          <c:showLegendKey val="0"/>
          <c:showVal val="1"/>
          <c:showCatName val="0"/>
          <c:showSerName val="0"/>
          <c:showPercent val="0"/>
          <c:showBubbleSize val="0"/>
        </c:dLbls>
        <c:gapWidth val="219"/>
        <c:overlap val="-27"/>
        <c:axId val="462715800"/>
        <c:axId val="462716128"/>
      </c:barChart>
      <c:catAx>
        <c:axId val="462715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2716128"/>
        <c:crosses val="autoZero"/>
        <c:auto val="1"/>
        <c:lblAlgn val="ctr"/>
        <c:lblOffset val="100"/>
        <c:noMultiLvlLbl val="0"/>
      </c:catAx>
      <c:valAx>
        <c:axId val="462716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Emissions (tCO2e)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27158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'Summary tables'!$E$25</c:f>
              <c:strCache>
                <c:ptCount val="1"/>
                <c:pt idx="0">
                  <c:v>Emissions
(tCO2e)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'Summary tables'!#REF!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'Summary tables'!#REF!</c15:sqref>
                        </c15:formulaRef>
                      </c:ext>
                    </c:extLst>
                  </c:multiLvlStrRef>
                </c15:cat>
              </c15:filteredCategoryTitle>
            </c:ext>
            <c:ext xmlns:c16="http://schemas.microsoft.com/office/drawing/2014/chart" uri="{C3380CC4-5D6E-409C-BE32-E72D297353CC}">
              <c16:uniqueId val="{00000000-88E3-42C1-9834-3ECF3B564591}"/>
            </c:ext>
          </c:extLst>
        </c:ser>
        <c:dLbls>
          <c:dLblPos val="outEnd"/>
          <c:showLegendKey val="0"/>
          <c:showVal val="1"/>
          <c:showCatName val="0"/>
          <c:showSerName val="0"/>
          <c:showPercent val="0"/>
          <c:showBubbleSize val="0"/>
        </c:dLbls>
        <c:gapWidth val="182"/>
        <c:axId val="777609552"/>
        <c:axId val="777603320"/>
      </c:barChart>
      <c:catAx>
        <c:axId val="7776095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7603320"/>
        <c:crosses val="autoZero"/>
        <c:auto val="1"/>
        <c:lblAlgn val="ctr"/>
        <c:lblOffset val="100"/>
        <c:noMultiLvlLbl val="0"/>
      </c:catAx>
      <c:valAx>
        <c:axId val="7776033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Emissions (tCO2e)</a:t>
                </a:r>
              </a:p>
            </c:rich>
          </c:tx>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7609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5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'Summary tables'!$E$25</c:f>
              <c:strCache>
                <c:ptCount val="1"/>
                <c:pt idx="0">
                  <c:v>Emissions
(tCO2e)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tables'!$D$42:$D$68</c:f>
              <c:strCache>
                <c:ptCount val="27"/>
                <c:pt idx="0">
                  <c:v>Small diesel car ≤ 1.7 litre</c:v>
                </c:pt>
                <c:pt idx="1">
                  <c:v>Medium diesel car, 1.7 - 2.0 litre</c:v>
                </c:pt>
                <c:pt idx="2">
                  <c:v>Large Diesel Car &gt; 2.0 litre</c:v>
                </c:pt>
                <c:pt idx="3">
                  <c:v>MPV - Diesel</c:v>
                </c:pt>
                <c:pt idx="4">
                  <c:v>Diesel van Class I (up to 1.305 tonnes)</c:v>
                </c:pt>
                <c:pt idx="5">
                  <c:v>Diesel van Class II (1.305 to 1.74 tonnes)</c:v>
                </c:pt>
                <c:pt idx="6">
                  <c:v>Diesel van Class III (1.74 to 3.5 tonnes)</c:v>
                </c:pt>
                <c:pt idx="7">
                  <c:v>Diesel 4x4</c:v>
                </c:pt>
                <c:pt idx="8">
                  <c:v>Minibus - Diesel</c:v>
                </c:pt>
                <c:pt idx="9">
                  <c:v>Small Petrol Cars  ≤ 1.4 litre</c:v>
                </c:pt>
                <c:pt idx="10">
                  <c:v>Medium Petrol Car 1.4 - 2.0 litre</c:v>
                </c:pt>
                <c:pt idx="11">
                  <c:v>Large Petrol Car &gt; 2.0 litre</c:v>
                </c:pt>
                <c:pt idx="12">
                  <c:v>Small Hybrid Car - Petrol</c:v>
                </c:pt>
                <c:pt idx="13">
                  <c:v>Medium Hybrid Car - Petrol</c:v>
                </c:pt>
                <c:pt idx="14">
                  <c:v>Large Hybrid Car - Petrol</c:v>
                </c:pt>
                <c:pt idx="15">
                  <c:v>Electric Vehicle (Average Sized Car)</c:v>
                </c:pt>
                <c:pt idx="16">
                  <c:v>Average Medium Car (Unknown Fuel)</c:v>
                </c:pt>
                <c:pt idx="17">
                  <c:v>#REF!</c:v>
                </c:pt>
                <c:pt idx="18">
                  <c:v>#REF!</c:v>
                </c:pt>
                <c:pt idx="19">
                  <c:v>#REF!</c:v>
                </c:pt>
                <c:pt idx="20">
                  <c:v>#REF!</c:v>
                </c:pt>
                <c:pt idx="21">
                  <c:v>#REF!</c:v>
                </c:pt>
                <c:pt idx="22">
                  <c:v>#REF!</c:v>
                </c:pt>
                <c:pt idx="23">
                  <c:v>#REF!</c:v>
                </c:pt>
                <c:pt idx="24">
                  <c:v>#REF!</c:v>
                </c:pt>
                <c:pt idx="25">
                  <c:v>Other Vehicles - Diesel</c:v>
                </c:pt>
                <c:pt idx="26">
                  <c:v>Minibus - Petrol</c:v>
                </c:pt>
              </c:strCache>
            </c:strRef>
          </c:cat>
          <c:val>
            <c:numRef>
              <c:f>'Summary tables'!$E$42:$E$68</c:f>
              <c:numCache>
                <c:formatCode>#,##0.00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0-EF23-4320-BD4F-A80EB37E6233}"/>
            </c:ext>
          </c:extLst>
        </c:ser>
        <c:dLbls>
          <c:dLblPos val="outEnd"/>
          <c:showLegendKey val="0"/>
          <c:showVal val="1"/>
          <c:showCatName val="0"/>
          <c:showSerName val="0"/>
          <c:showPercent val="0"/>
          <c:showBubbleSize val="0"/>
        </c:dLbls>
        <c:gapWidth val="182"/>
        <c:axId val="470751640"/>
        <c:axId val="470753936"/>
      </c:barChart>
      <c:catAx>
        <c:axId val="470751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753936"/>
        <c:crosses val="autoZero"/>
        <c:auto val="1"/>
        <c:lblAlgn val="ctr"/>
        <c:lblOffset val="100"/>
        <c:noMultiLvlLbl val="0"/>
      </c:catAx>
      <c:valAx>
        <c:axId val="4707539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Emissions (tCO2e)</a:t>
                </a:r>
              </a:p>
            </c:rich>
          </c:tx>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751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5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'Summary tables'!$D$10</c:f>
              <c:strCache>
                <c:ptCount val="1"/>
                <c:pt idx="0">
                  <c:v>Emissions
(tCO2e)</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42F4-42AD-A9A4-9B0FCE7E60C3}"/>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42F4-42AD-A9A4-9B0FCE7E60C3}"/>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42F4-42AD-A9A4-9B0FCE7E60C3}"/>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42F4-42AD-A9A4-9B0FCE7E60C3}"/>
              </c:ext>
            </c:extLst>
          </c:dPt>
          <c:dPt>
            <c:idx val="4"/>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9-42F4-42AD-A9A4-9B0FCE7E60C3}"/>
              </c:ext>
            </c:extLst>
          </c:dPt>
          <c:dPt>
            <c:idx val="5"/>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B-42F4-42AD-A9A4-9B0FCE7E60C3}"/>
              </c:ext>
            </c:extLst>
          </c:dPt>
          <c:dPt>
            <c:idx val="6"/>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0D-42F4-42AD-A9A4-9B0FCE7E60C3}"/>
              </c:ext>
            </c:extLst>
          </c:dPt>
          <c:dPt>
            <c:idx val="7"/>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0F-53EF-40F0-BAA9-AA8FBF96A232}"/>
              </c:ext>
            </c:extLst>
          </c:dPt>
          <c:dPt>
            <c:idx val="8"/>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11-C6DD-4FFE-A34D-F250C9C90BEF}"/>
              </c:ext>
            </c:extLst>
          </c:dPt>
          <c:dPt>
            <c:idx val="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13-6E54-4C98-8E3E-C4639CFBB88F}"/>
              </c:ext>
            </c:extLst>
          </c:dPt>
          <c:dPt>
            <c:idx val="10"/>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15-6E54-4C98-8E3E-C4639CFBB88F}"/>
              </c:ext>
            </c:extLst>
          </c:dPt>
          <c:dLbls>
            <c:dLbl>
              <c:idx val="0"/>
              <c:layout>
                <c:manualLayout>
                  <c:x val="3.0449826989619379E-2"/>
                  <c:y val="-0.1003184839157535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2F4-42AD-A9A4-9B0FCE7E60C3}"/>
                </c:ext>
              </c:extLst>
            </c:dLbl>
            <c:dLbl>
              <c:idx val="1"/>
              <c:delete val="1"/>
              <c:extLst>
                <c:ext xmlns:c15="http://schemas.microsoft.com/office/drawing/2012/chart" uri="{CE6537A1-D6FC-4f65-9D91-7224C49458BB}"/>
                <c:ext xmlns:c16="http://schemas.microsoft.com/office/drawing/2014/chart" uri="{C3380CC4-5D6E-409C-BE32-E72D297353CC}">
                  <c16:uniqueId val="{00000003-42F4-42AD-A9A4-9B0FCE7E60C3}"/>
                </c:ext>
              </c:extLst>
            </c:dLbl>
            <c:dLbl>
              <c:idx val="2"/>
              <c:layout>
                <c:manualLayout>
                  <c:x val="0.11626297577854672"/>
                  <c:y val="-2.388535331327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2F4-42AD-A9A4-9B0FCE7E60C3}"/>
                </c:ext>
              </c:extLst>
            </c:dLbl>
            <c:dLbl>
              <c:idx val="3"/>
              <c:layout>
                <c:manualLayout>
                  <c:x val="2.7681660899653978E-3"/>
                  <c:y val="0.1242038372290281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2F4-42AD-A9A4-9B0FCE7E60C3}"/>
                </c:ext>
              </c:extLst>
            </c:dLbl>
            <c:dLbl>
              <c:idx val="4"/>
              <c:layout>
                <c:manualLayout>
                  <c:x val="-0.10795847750865054"/>
                  <c:y val="-5.25477772892042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2F4-42AD-A9A4-9B0FCE7E60C3}"/>
                </c:ext>
              </c:extLst>
            </c:dLbl>
            <c:dLbl>
              <c:idx val="5"/>
              <c:delete val="1"/>
              <c:extLst>
                <c:ext xmlns:c15="http://schemas.microsoft.com/office/drawing/2012/chart" uri="{CE6537A1-D6FC-4f65-9D91-7224C49458BB}"/>
                <c:ext xmlns:c16="http://schemas.microsoft.com/office/drawing/2014/chart" uri="{C3380CC4-5D6E-409C-BE32-E72D297353CC}">
                  <c16:uniqueId val="{0000000B-42F4-42AD-A9A4-9B0FCE7E60C3}"/>
                </c:ext>
              </c:extLst>
            </c:dLbl>
            <c:dLbl>
              <c:idx val="10"/>
              <c:delete val="1"/>
              <c:extLst>
                <c:ext xmlns:c15="http://schemas.microsoft.com/office/drawing/2012/chart" uri="{CE6537A1-D6FC-4f65-9D91-7224C49458BB}"/>
                <c:ext xmlns:c16="http://schemas.microsoft.com/office/drawing/2014/chart" uri="{C3380CC4-5D6E-409C-BE32-E72D297353CC}">
                  <c16:uniqueId val="{00000015-6E54-4C98-8E3E-C4639CFBB88F}"/>
                </c:ext>
              </c:extLst>
            </c:dLbl>
            <c:numFmt formatCode="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 tables'!$C$11:$C$21</c:f>
              <c:strCache>
                <c:ptCount val="11"/>
                <c:pt idx="0">
                  <c:v>Heating</c:v>
                </c:pt>
                <c:pt idx="1">
                  <c:v>#REF!</c:v>
                </c:pt>
                <c:pt idx="2">
                  <c:v>Authority's Fleet</c:v>
                </c:pt>
                <c:pt idx="3">
                  <c:v>Electricity</c:v>
                </c:pt>
                <c:pt idx="4">
                  <c:v>Staff Business Travel</c:v>
                </c:pt>
                <c:pt idx="5">
                  <c:v>#REF!</c:v>
                </c:pt>
                <c:pt idx="6">
                  <c:v>#REF!</c:v>
                </c:pt>
                <c:pt idx="7">
                  <c:v>Water</c:v>
                </c:pt>
                <c:pt idx="8">
                  <c:v>Material Use</c:v>
                </c:pt>
                <c:pt idx="9">
                  <c:v>Waste generated from own operations </c:v>
                </c:pt>
                <c:pt idx="10">
                  <c:v>Outsourced Scope 3</c:v>
                </c:pt>
              </c:strCache>
            </c:strRef>
          </c:cat>
          <c:val>
            <c:numRef>
              <c:f>'Summary tables'!$D$11:$D$21</c:f>
              <c:numCache>
                <c:formatCode>#,##0.00</c:formatCode>
                <c:ptCount val="11"/>
                <c:pt idx="0">
                  <c:v>0</c:v>
                </c:pt>
                <c:pt idx="1">
                  <c:v>0</c:v>
                </c:pt>
                <c:pt idx="2">
                  <c:v>0</c:v>
                </c:pt>
                <c:pt idx="3">
                  <c:v>7.6680000000000001</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E-42F4-42AD-A9A4-9B0FCE7E60C3}"/>
            </c:ext>
          </c:extLst>
        </c:ser>
        <c:dLbls>
          <c:showLegendKey val="0"/>
          <c:showVal val="0"/>
          <c:showCatName val="0"/>
          <c:showSerName val="0"/>
          <c:showPercent val="1"/>
          <c:showBubbleSize val="0"/>
          <c:showLeaderLines val="0"/>
        </c:dLbls>
        <c:firstSliceAng val="0"/>
        <c:holeSize val="75"/>
      </c:doughnutChart>
      <c:spPr>
        <a:noFill/>
        <a:ln>
          <a:noFill/>
        </a:ln>
        <a:effectLst/>
      </c:spPr>
    </c:plotArea>
    <c:legend>
      <c:legendPos val="b"/>
      <c:legendEntry>
        <c:idx val="1"/>
        <c:delete val="1"/>
      </c:legendEntry>
      <c:legendEntry>
        <c:idx val="5"/>
        <c:delete val="1"/>
      </c:legendEntry>
      <c:legendEntry>
        <c:idx val="6"/>
        <c:delete val="1"/>
      </c:legendEntry>
      <c:legendEntry>
        <c:idx val="1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'Summary tables'!#REF!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'Summary tables'!#REF!</c15:sqref>
                        </c15:formulaRef>
                      </c:ext>
                    </c:extLst>
                  </c:multiLvlStrRef>
                </c15:cat>
              </c15:filteredCategoryTitle>
            </c:ext>
            <c:ext xmlns:c16="http://schemas.microsoft.com/office/drawing/2014/chart" uri="{C3380CC4-5D6E-409C-BE32-E72D297353CC}">
              <c16:uniqueId val="{00000001-EBC6-4260-B0DA-5B2F1465C971}"/>
            </c:ext>
          </c:extLst>
        </c:ser>
        <c:dLbls>
          <c:dLblPos val="outEnd"/>
          <c:showLegendKey val="0"/>
          <c:showVal val="1"/>
          <c:showCatName val="0"/>
          <c:showSerName val="0"/>
          <c:showPercent val="0"/>
          <c:showBubbleSize val="0"/>
        </c:dLbls>
        <c:gapWidth val="219"/>
        <c:overlap val="-27"/>
        <c:axId val="778006240"/>
        <c:axId val="778003616"/>
      </c:barChart>
      <c:catAx>
        <c:axId val="778006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8003616"/>
        <c:crosses val="autoZero"/>
        <c:auto val="1"/>
        <c:lblAlgn val="ctr"/>
        <c:lblOffset val="100"/>
        <c:noMultiLvlLbl val="0"/>
      </c:catAx>
      <c:valAx>
        <c:axId val="778003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Emissions (tCO2e)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8006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'Summary tables'!$E$25</c:f>
              <c:strCache>
                <c:ptCount val="1"/>
                <c:pt idx="0">
                  <c:v>Emissions
(tCO2e)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tables'!$D$96:$D$97</c:f>
              <c:strCache>
                <c:ptCount val="2"/>
                <c:pt idx="0">
                  <c:v>Water Supply</c:v>
                </c:pt>
                <c:pt idx="1">
                  <c:v>Water Treatment</c:v>
                </c:pt>
              </c:strCache>
            </c:strRef>
          </c:cat>
          <c:val>
            <c:numRef>
              <c:f>'Summary tables'!$E$96:$E$97</c:f>
              <c:numCache>
                <c:formatCode>#,##0.00</c:formatCode>
                <c:ptCount val="2"/>
                <c:pt idx="0">
                  <c:v>0</c:v>
                </c:pt>
                <c:pt idx="1">
                  <c:v>0</c:v>
                </c:pt>
              </c:numCache>
            </c:numRef>
          </c:val>
          <c:extLst>
            <c:ext xmlns:c16="http://schemas.microsoft.com/office/drawing/2014/chart" uri="{C3380CC4-5D6E-409C-BE32-E72D297353CC}">
              <c16:uniqueId val="{00000000-209F-4346-8155-616B7FBC1998}"/>
            </c:ext>
          </c:extLst>
        </c:ser>
        <c:dLbls>
          <c:dLblPos val="outEnd"/>
          <c:showLegendKey val="0"/>
          <c:showVal val="1"/>
          <c:showCatName val="0"/>
          <c:showSerName val="0"/>
          <c:showPercent val="0"/>
          <c:showBubbleSize val="0"/>
        </c:dLbls>
        <c:gapWidth val="219"/>
        <c:overlap val="-27"/>
        <c:axId val="462701040"/>
        <c:axId val="462703008"/>
      </c:barChart>
      <c:catAx>
        <c:axId val="462701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2703008"/>
        <c:crosses val="autoZero"/>
        <c:auto val="1"/>
        <c:lblAlgn val="ctr"/>
        <c:lblOffset val="100"/>
        <c:noMultiLvlLbl val="0"/>
      </c:catAx>
      <c:valAx>
        <c:axId val="462703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Emissions (tCO2e)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27010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'Summary tables'!$E$25</c:f>
              <c:strCache>
                <c:ptCount val="1"/>
                <c:pt idx="0">
                  <c:v>Emissions
(tCO2e)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tables'!$D$34:$D$41</c:f>
              <c:strCache>
                <c:ptCount val="8"/>
                <c:pt idx="0">
                  <c:v>HFC-32</c:v>
                </c:pt>
                <c:pt idx="1">
                  <c:v>R410A</c:v>
                </c:pt>
                <c:pt idx="2">
                  <c:v>HCFC-22/R22</c:v>
                </c:pt>
                <c:pt idx="3">
                  <c:v>#REF!</c:v>
                </c:pt>
                <c:pt idx="4">
                  <c:v>#REF!</c:v>
                </c:pt>
                <c:pt idx="5">
                  <c:v>#REF!</c:v>
                </c:pt>
                <c:pt idx="6">
                  <c:v>#REF!</c:v>
                </c:pt>
                <c:pt idx="7">
                  <c:v>#REF!</c:v>
                </c:pt>
              </c:strCache>
            </c:strRef>
          </c:cat>
          <c:val>
            <c:numRef>
              <c:f>'Summary tables'!$E$34:$E$41</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DBD9-4B4C-9C19-104289536E0D}"/>
            </c:ext>
          </c:extLst>
        </c:ser>
        <c:dLbls>
          <c:dLblPos val="outEnd"/>
          <c:showLegendKey val="0"/>
          <c:showVal val="1"/>
          <c:showCatName val="0"/>
          <c:showSerName val="0"/>
          <c:showPercent val="0"/>
          <c:showBubbleSize val="0"/>
        </c:dLbls>
        <c:gapWidth val="219"/>
        <c:overlap val="-27"/>
        <c:axId val="778001976"/>
        <c:axId val="778000008"/>
      </c:barChart>
      <c:catAx>
        <c:axId val="778001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8000008"/>
        <c:crosses val="autoZero"/>
        <c:auto val="1"/>
        <c:lblAlgn val="ctr"/>
        <c:lblOffset val="100"/>
        <c:noMultiLvlLbl val="0"/>
      </c:catAx>
      <c:valAx>
        <c:axId val="778000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Emissions (tCO2e)</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80019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5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tables'!$D$83:$D$95</c:f>
              <c:strCache>
                <c:ptCount val="13"/>
                <c:pt idx="0">
                  <c:v>Small Petrol Motorbike (Mopeds/Scooters up to 125cc)</c:v>
                </c:pt>
                <c:pt idx="1">
                  <c:v>Medium Petrol Motorbike (125-500cc)</c:v>
                </c:pt>
                <c:pt idx="2">
                  <c:v>Average Medium Car (unknown fuel)</c:v>
                </c:pt>
                <c:pt idx="3">
                  <c:v>Small Petrol Cars  ≤ 1.4 litre</c:v>
                </c:pt>
                <c:pt idx="4">
                  <c:v>Medium Petrol Car 1.4 - 2.0 litre</c:v>
                </c:pt>
                <c:pt idx="5">
                  <c:v>Large Petrol Car &gt; 2.0 litre</c:v>
                </c:pt>
                <c:pt idx="6">
                  <c:v>Small Diesel Car ≤ 1.7 litre</c:v>
                </c:pt>
                <c:pt idx="7">
                  <c:v>Medium Diesel Car 1.7 - 2.0 litre</c:v>
                </c:pt>
                <c:pt idx="8">
                  <c:v>Large Diesel Car &gt; 2.0 litre</c:v>
                </c:pt>
                <c:pt idx="9">
                  <c:v>Small Hybrid Car - Petrol</c:v>
                </c:pt>
                <c:pt idx="10">
                  <c:v>Medium Hybrid Car - Petrol</c:v>
                </c:pt>
                <c:pt idx="11">
                  <c:v>Large Hybrid Car - Petrol</c:v>
                </c:pt>
                <c:pt idx="12">
                  <c:v>Electric Vehicle (Average Sized Car)</c:v>
                </c:pt>
              </c:strCache>
            </c:strRef>
          </c:cat>
          <c:val>
            <c:numRef>
              <c:f>'Summary tables'!$E$83:$E$95</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3334-431F-8508-256C67CB1F80}"/>
            </c:ext>
          </c:extLst>
        </c:ser>
        <c:dLbls>
          <c:dLblPos val="outEnd"/>
          <c:showLegendKey val="0"/>
          <c:showVal val="1"/>
          <c:showCatName val="0"/>
          <c:showSerName val="0"/>
          <c:showPercent val="0"/>
          <c:showBubbleSize val="0"/>
        </c:dLbls>
        <c:gapWidth val="182"/>
        <c:axId val="777609552"/>
        <c:axId val="777603320"/>
      </c:barChart>
      <c:catAx>
        <c:axId val="7776095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7603320"/>
        <c:crosses val="autoZero"/>
        <c:auto val="1"/>
        <c:lblAlgn val="ctr"/>
        <c:lblOffset val="100"/>
        <c:noMultiLvlLbl val="0"/>
      </c:catAx>
      <c:valAx>
        <c:axId val="7776033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Emissions (tCO2e)</a:t>
                </a:r>
              </a:p>
            </c:rich>
          </c:tx>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7609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5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chart" Target="../charts/chart11.xml"/><Relationship Id="rId3" Type="http://schemas.openxmlformats.org/officeDocument/2006/relationships/chart" Target="../charts/chart3.xml"/><Relationship Id="rId7" Type="http://schemas.openxmlformats.org/officeDocument/2006/relationships/chart" Target="../charts/chart5.xml"/><Relationship Id="rId12" Type="http://schemas.openxmlformats.org/officeDocument/2006/relationships/chart" Target="../charts/chart10.xml"/><Relationship Id="rId2" Type="http://schemas.openxmlformats.org/officeDocument/2006/relationships/chart" Target="../charts/chart2.xml"/><Relationship Id="rId16" Type="http://schemas.openxmlformats.org/officeDocument/2006/relationships/chart" Target="../charts/chart14.xml"/><Relationship Id="rId1" Type="http://schemas.openxmlformats.org/officeDocument/2006/relationships/chart" Target="../charts/chart1.xml"/><Relationship Id="rId6" Type="http://schemas.openxmlformats.org/officeDocument/2006/relationships/chart" Target="../charts/chart4.xml"/><Relationship Id="rId11" Type="http://schemas.openxmlformats.org/officeDocument/2006/relationships/chart" Target="../charts/chart9.xml"/><Relationship Id="rId5" Type="http://schemas.openxmlformats.org/officeDocument/2006/relationships/image" Target="../media/image2.png"/><Relationship Id="rId15" Type="http://schemas.openxmlformats.org/officeDocument/2006/relationships/chart" Target="../charts/chart13.xml"/><Relationship Id="rId10" Type="http://schemas.openxmlformats.org/officeDocument/2006/relationships/chart" Target="../charts/chart8.xml"/><Relationship Id="rId4" Type="http://schemas.openxmlformats.org/officeDocument/2006/relationships/image" Target="../media/image1.png"/><Relationship Id="rId9" Type="http://schemas.openxmlformats.org/officeDocument/2006/relationships/chart" Target="../charts/chart7.xml"/><Relationship Id="rId1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561346</xdr:colOff>
      <xdr:row>1</xdr:row>
      <xdr:rowOff>111728</xdr:rowOff>
    </xdr:from>
    <xdr:to>
      <xdr:col>2</xdr:col>
      <xdr:colOff>1738316</xdr:colOff>
      <xdr:row>5</xdr:row>
      <xdr:rowOff>128874</xdr:rowOff>
    </xdr:to>
    <xdr:pic>
      <xdr:nvPicPr>
        <xdr:cNvPr id="2" name="Picture 1">
          <a:extLst>
            <a:ext uri="{FF2B5EF4-FFF2-40B4-BE49-F238E27FC236}">
              <a16:creationId xmlns:a16="http://schemas.microsoft.com/office/drawing/2014/main" id="{83269531-0F13-455D-84FE-0E61E7BC7F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9534" y="286353"/>
          <a:ext cx="1174430" cy="723628"/>
        </a:xfrm>
        <a:prstGeom prst="rect">
          <a:avLst/>
        </a:prstGeom>
      </xdr:spPr>
    </xdr:pic>
    <xdr:clientData/>
  </xdr:twoCellAnchor>
  <xdr:twoCellAnchor editAs="oneCell">
    <xdr:from>
      <xdr:col>0</xdr:col>
      <xdr:colOff>270782</xdr:colOff>
      <xdr:row>1</xdr:row>
      <xdr:rowOff>107496</xdr:rowOff>
    </xdr:from>
    <xdr:to>
      <xdr:col>1</xdr:col>
      <xdr:colOff>1624342</xdr:colOff>
      <xdr:row>5</xdr:row>
      <xdr:rowOff>136978</xdr:rowOff>
    </xdr:to>
    <xdr:pic>
      <xdr:nvPicPr>
        <xdr:cNvPr id="4" name="Picture 3">
          <a:extLst>
            <a:ext uri="{FF2B5EF4-FFF2-40B4-BE49-F238E27FC236}">
              <a16:creationId xmlns:a16="http://schemas.microsoft.com/office/drawing/2014/main" id="{40A0EC18-F9A7-4953-8BD8-8C33E72FA4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0782" y="282121"/>
          <a:ext cx="2025708"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668161</xdr:colOff>
      <xdr:row>1</xdr:row>
      <xdr:rowOff>54655</xdr:rowOff>
    </xdr:from>
    <xdr:to>
      <xdr:col>5</xdr:col>
      <xdr:colOff>531931</xdr:colOff>
      <xdr:row>5</xdr:row>
      <xdr:rowOff>76155</xdr:rowOff>
    </xdr:to>
    <xdr:pic>
      <xdr:nvPicPr>
        <xdr:cNvPr id="5" name="Picture 4">
          <a:extLst>
            <a:ext uri="{FF2B5EF4-FFF2-40B4-BE49-F238E27FC236}">
              <a16:creationId xmlns:a16="http://schemas.microsoft.com/office/drawing/2014/main" id="{86F916D3-649E-4AAC-869D-D7BBD78AEB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2224" y="229280"/>
          <a:ext cx="1213145" cy="720000"/>
        </a:xfrm>
        <a:prstGeom prst="rect">
          <a:avLst/>
        </a:prstGeom>
      </xdr:spPr>
    </xdr:pic>
    <xdr:clientData/>
  </xdr:twoCellAnchor>
  <xdr:twoCellAnchor editAs="oneCell">
    <xdr:from>
      <xdr:col>0</xdr:col>
      <xdr:colOff>325664</xdr:colOff>
      <xdr:row>1</xdr:row>
      <xdr:rowOff>69106</xdr:rowOff>
    </xdr:from>
    <xdr:to>
      <xdr:col>3</xdr:col>
      <xdr:colOff>325947</xdr:colOff>
      <xdr:row>5</xdr:row>
      <xdr:rowOff>96321</xdr:rowOff>
    </xdr:to>
    <xdr:pic>
      <xdr:nvPicPr>
        <xdr:cNvPr id="6" name="Picture 5">
          <a:extLst>
            <a:ext uri="{FF2B5EF4-FFF2-40B4-BE49-F238E27FC236}">
              <a16:creationId xmlns:a16="http://schemas.microsoft.com/office/drawing/2014/main" id="{339135DD-D618-4C7A-B72A-CA24CC2782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5664" y="243731"/>
          <a:ext cx="2019266" cy="7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1766028</xdr:colOff>
      <xdr:row>0</xdr:row>
      <xdr:rowOff>141286</xdr:rowOff>
    </xdr:from>
    <xdr:to>
      <xdr:col>2</xdr:col>
      <xdr:colOff>230694</xdr:colOff>
      <xdr:row>5</xdr:row>
      <xdr:rowOff>406</xdr:rowOff>
    </xdr:to>
    <xdr:pic>
      <xdr:nvPicPr>
        <xdr:cNvPr id="2" name="Picture 1">
          <a:extLst>
            <a:ext uri="{FF2B5EF4-FFF2-40B4-BE49-F238E27FC236}">
              <a16:creationId xmlns:a16="http://schemas.microsoft.com/office/drawing/2014/main" id="{8E72533D-07E7-4E21-BB53-21D1C9478E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0716" y="141286"/>
          <a:ext cx="1187228" cy="720000"/>
        </a:xfrm>
        <a:prstGeom prst="rect">
          <a:avLst/>
        </a:prstGeom>
      </xdr:spPr>
    </xdr:pic>
    <xdr:clientData/>
  </xdr:twoCellAnchor>
  <xdr:twoCellAnchor editAs="oneCell">
    <xdr:from>
      <xdr:col>0</xdr:col>
      <xdr:colOff>259217</xdr:colOff>
      <xdr:row>0</xdr:row>
      <xdr:rowOff>122857</xdr:rowOff>
    </xdr:from>
    <xdr:to>
      <xdr:col>1</xdr:col>
      <xdr:colOff>1582427</xdr:colOff>
      <xdr:row>4</xdr:row>
      <xdr:rowOff>132566</xdr:rowOff>
    </xdr:to>
    <xdr:pic>
      <xdr:nvPicPr>
        <xdr:cNvPr id="3" name="Picture 2">
          <a:extLst>
            <a:ext uri="{FF2B5EF4-FFF2-40B4-BE49-F238E27FC236}">
              <a16:creationId xmlns:a16="http://schemas.microsoft.com/office/drawing/2014/main" id="{EC035629-1C9A-41D2-A6C2-FE105821BD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9217" y="122857"/>
          <a:ext cx="2002433" cy="72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1784672</xdr:colOff>
      <xdr:row>0</xdr:row>
      <xdr:rowOff>169544</xdr:rowOff>
    </xdr:from>
    <xdr:to>
      <xdr:col>1</xdr:col>
      <xdr:colOff>2981768</xdr:colOff>
      <xdr:row>5</xdr:row>
      <xdr:rowOff>8074</xdr:rowOff>
    </xdr:to>
    <xdr:pic>
      <xdr:nvPicPr>
        <xdr:cNvPr id="2" name="Picture 1">
          <a:extLst>
            <a:ext uri="{FF2B5EF4-FFF2-40B4-BE49-F238E27FC236}">
              <a16:creationId xmlns:a16="http://schemas.microsoft.com/office/drawing/2014/main" id="{D5B48BA9-A711-4E7C-AE18-A336514B5D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9992" y="169544"/>
          <a:ext cx="1193921" cy="718005"/>
        </a:xfrm>
        <a:prstGeom prst="rect">
          <a:avLst/>
        </a:prstGeom>
      </xdr:spPr>
    </xdr:pic>
    <xdr:clientData/>
  </xdr:twoCellAnchor>
  <xdr:twoCellAnchor editAs="oneCell">
    <xdr:from>
      <xdr:col>0</xdr:col>
      <xdr:colOff>274320</xdr:colOff>
      <xdr:row>0</xdr:row>
      <xdr:rowOff>114300</xdr:rowOff>
    </xdr:from>
    <xdr:to>
      <xdr:col>1</xdr:col>
      <xdr:colOff>1607902</xdr:colOff>
      <xdr:row>4</xdr:row>
      <xdr:rowOff>141698</xdr:rowOff>
    </xdr:to>
    <xdr:pic>
      <xdr:nvPicPr>
        <xdr:cNvPr id="4" name="Picture 3">
          <a:extLst>
            <a:ext uri="{FF2B5EF4-FFF2-40B4-BE49-F238E27FC236}">
              <a16:creationId xmlns:a16="http://schemas.microsoft.com/office/drawing/2014/main" id="{031B66DF-0679-4809-A995-911DE8B300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320" y="114300"/>
          <a:ext cx="1992077" cy="7252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1818870</xdr:colOff>
      <xdr:row>1</xdr:row>
      <xdr:rowOff>47625</xdr:rowOff>
    </xdr:from>
    <xdr:to>
      <xdr:col>1</xdr:col>
      <xdr:colOff>2990847</xdr:colOff>
      <xdr:row>5</xdr:row>
      <xdr:rowOff>55520</xdr:rowOff>
    </xdr:to>
    <xdr:pic>
      <xdr:nvPicPr>
        <xdr:cNvPr id="2" name="Picture 1">
          <a:extLst>
            <a:ext uri="{FF2B5EF4-FFF2-40B4-BE49-F238E27FC236}">
              <a16:creationId xmlns:a16="http://schemas.microsoft.com/office/drawing/2014/main" id="{659EA4DD-2CA1-480C-9C8D-66D670FDAB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7683" y="222250"/>
          <a:ext cx="1179233" cy="717279"/>
        </a:xfrm>
        <a:prstGeom prst="rect">
          <a:avLst/>
        </a:prstGeom>
      </xdr:spPr>
    </xdr:pic>
    <xdr:clientData/>
  </xdr:twoCellAnchor>
  <xdr:twoCellAnchor editAs="oneCell">
    <xdr:from>
      <xdr:col>0</xdr:col>
      <xdr:colOff>402090</xdr:colOff>
      <xdr:row>1</xdr:row>
      <xdr:rowOff>40078</xdr:rowOff>
    </xdr:from>
    <xdr:to>
      <xdr:col>1</xdr:col>
      <xdr:colOff>1656691</xdr:colOff>
      <xdr:row>5</xdr:row>
      <xdr:rowOff>58857</xdr:rowOff>
    </xdr:to>
    <xdr:pic>
      <xdr:nvPicPr>
        <xdr:cNvPr id="3" name="Picture 2">
          <a:extLst>
            <a:ext uri="{FF2B5EF4-FFF2-40B4-BE49-F238E27FC236}">
              <a16:creationId xmlns:a16="http://schemas.microsoft.com/office/drawing/2014/main" id="{012EFE02-011D-44A1-A175-5BD5D683BE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2090" y="214703"/>
          <a:ext cx="1920670" cy="72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405077</xdr:colOff>
      <xdr:row>1</xdr:row>
      <xdr:rowOff>53749</xdr:rowOff>
    </xdr:from>
    <xdr:to>
      <xdr:col>2</xdr:col>
      <xdr:colOff>1580463</xdr:colOff>
      <xdr:row>5</xdr:row>
      <xdr:rowOff>57109</xdr:rowOff>
    </xdr:to>
    <xdr:pic>
      <xdr:nvPicPr>
        <xdr:cNvPr id="10" name="Picture 9">
          <a:extLst>
            <a:ext uri="{FF2B5EF4-FFF2-40B4-BE49-F238E27FC236}">
              <a16:creationId xmlns:a16="http://schemas.microsoft.com/office/drawing/2014/main" id="{94AAD8B0-760F-41D0-BC1F-3471DFAF8E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16452" y="228374"/>
          <a:ext cx="1187177" cy="717279"/>
        </a:xfrm>
        <a:prstGeom prst="rect">
          <a:avLst/>
        </a:prstGeom>
      </xdr:spPr>
    </xdr:pic>
    <xdr:clientData/>
  </xdr:twoCellAnchor>
  <xdr:twoCellAnchor editAs="oneCell">
    <xdr:from>
      <xdr:col>0</xdr:col>
      <xdr:colOff>333374</xdr:colOff>
      <xdr:row>1</xdr:row>
      <xdr:rowOff>37357</xdr:rowOff>
    </xdr:from>
    <xdr:to>
      <xdr:col>2</xdr:col>
      <xdr:colOff>210426</xdr:colOff>
      <xdr:row>5</xdr:row>
      <xdr:rowOff>57043</xdr:rowOff>
    </xdr:to>
    <xdr:pic>
      <xdr:nvPicPr>
        <xdr:cNvPr id="11" name="Picture 10">
          <a:extLst>
            <a:ext uri="{FF2B5EF4-FFF2-40B4-BE49-F238E27FC236}">
              <a16:creationId xmlns:a16="http://schemas.microsoft.com/office/drawing/2014/main" id="{E4A619FE-111F-4FA7-ACC8-3F97D15A80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3374" y="211982"/>
          <a:ext cx="1964845" cy="72362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xdr:colOff>
      <xdr:row>37</xdr:row>
      <xdr:rowOff>0</xdr:rowOff>
    </xdr:from>
    <xdr:to>
      <xdr:col>11</xdr:col>
      <xdr:colOff>439736</xdr:colOff>
      <xdr:row>60</xdr:row>
      <xdr:rowOff>51625</xdr:rowOff>
    </xdr:to>
    <xdr:graphicFrame macro="">
      <xdr:nvGraphicFramePr>
        <xdr:cNvPr id="14" name="Chart 13">
          <a:extLst>
            <a:ext uri="{FF2B5EF4-FFF2-40B4-BE49-F238E27FC236}">
              <a16:creationId xmlns:a16="http://schemas.microsoft.com/office/drawing/2014/main" id="{E7F63FBD-B499-4BC8-A4F5-A45DC9353B9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10584</xdr:colOff>
      <xdr:row>124</xdr:row>
      <xdr:rowOff>74082</xdr:rowOff>
    </xdr:from>
    <xdr:to>
      <xdr:col>11</xdr:col>
      <xdr:colOff>432665</xdr:colOff>
      <xdr:row>147</xdr:row>
      <xdr:rowOff>125707</xdr:rowOff>
    </xdr:to>
    <xdr:graphicFrame macro="">
      <xdr:nvGraphicFramePr>
        <xdr:cNvPr id="16" name="Chart 15">
          <a:extLst>
            <a:ext uri="{FF2B5EF4-FFF2-40B4-BE49-F238E27FC236}">
              <a16:creationId xmlns:a16="http://schemas.microsoft.com/office/drawing/2014/main" id="{1DBF2934-930A-43A2-A2E8-D1260BF36F6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7928</xdr:colOff>
      <xdr:row>180</xdr:row>
      <xdr:rowOff>142874</xdr:rowOff>
    </xdr:from>
    <xdr:to>
      <xdr:col>11</xdr:col>
      <xdr:colOff>419427</xdr:colOff>
      <xdr:row>207</xdr:row>
      <xdr:rowOff>3999</xdr:rowOff>
    </xdr:to>
    <xdr:graphicFrame macro="">
      <xdr:nvGraphicFramePr>
        <xdr:cNvPr id="17" name="Chart 16">
          <a:extLst>
            <a:ext uri="{FF2B5EF4-FFF2-40B4-BE49-F238E27FC236}">
              <a16:creationId xmlns:a16="http://schemas.microsoft.com/office/drawing/2014/main" id="{7A162E0D-EA1B-465B-A2A9-7E887F352DC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466076</xdr:colOff>
      <xdr:row>1</xdr:row>
      <xdr:rowOff>73251</xdr:rowOff>
    </xdr:from>
    <xdr:to>
      <xdr:col>5</xdr:col>
      <xdr:colOff>400792</xdr:colOff>
      <xdr:row>5</xdr:row>
      <xdr:rowOff>97472</xdr:rowOff>
    </xdr:to>
    <xdr:pic>
      <xdr:nvPicPr>
        <xdr:cNvPr id="11" name="Picture 10">
          <a:extLst>
            <a:ext uri="{FF2B5EF4-FFF2-40B4-BE49-F238E27FC236}">
              <a16:creationId xmlns:a16="http://schemas.microsoft.com/office/drawing/2014/main" id="{7779A88D-722B-496E-A9C0-B952F70D82C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90139" y="247876"/>
          <a:ext cx="1270486" cy="717279"/>
        </a:xfrm>
        <a:prstGeom prst="rect">
          <a:avLst/>
        </a:prstGeom>
      </xdr:spPr>
    </xdr:pic>
    <xdr:clientData/>
  </xdr:twoCellAnchor>
  <xdr:twoCellAnchor editAs="oneCell">
    <xdr:from>
      <xdr:col>0</xdr:col>
      <xdr:colOff>336091</xdr:colOff>
      <xdr:row>1</xdr:row>
      <xdr:rowOff>61170</xdr:rowOff>
    </xdr:from>
    <xdr:to>
      <xdr:col>3</xdr:col>
      <xdr:colOff>285246</xdr:colOff>
      <xdr:row>5</xdr:row>
      <xdr:rowOff>95368</xdr:rowOff>
    </xdr:to>
    <xdr:pic>
      <xdr:nvPicPr>
        <xdr:cNvPr id="12" name="Picture 11">
          <a:extLst>
            <a:ext uri="{FF2B5EF4-FFF2-40B4-BE49-F238E27FC236}">
              <a16:creationId xmlns:a16="http://schemas.microsoft.com/office/drawing/2014/main" id="{DBA02CEB-EEA4-40AE-9D91-E87851B0DF6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6091" y="235795"/>
          <a:ext cx="1978660" cy="723628"/>
        </a:xfrm>
        <a:prstGeom prst="rect">
          <a:avLst/>
        </a:prstGeom>
      </xdr:spPr>
    </xdr:pic>
    <xdr:clientData/>
  </xdr:twoCellAnchor>
  <xdr:twoCellAnchor>
    <xdr:from>
      <xdr:col>1</xdr:col>
      <xdr:colOff>0</xdr:colOff>
      <xdr:row>90</xdr:row>
      <xdr:rowOff>174624</xdr:rowOff>
    </xdr:from>
    <xdr:to>
      <xdr:col>11</xdr:col>
      <xdr:colOff>437017</xdr:colOff>
      <xdr:row>120</xdr:row>
      <xdr:rowOff>95249</xdr:rowOff>
    </xdr:to>
    <xdr:graphicFrame macro="">
      <xdr:nvGraphicFramePr>
        <xdr:cNvPr id="13" name="Chart 12">
          <a:extLst>
            <a:ext uri="{FF2B5EF4-FFF2-40B4-BE49-F238E27FC236}">
              <a16:creationId xmlns:a16="http://schemas.microsoft.com/office/drawing/2014/main" id="{089203B5-572D-4FB0-BCAF-9247D6E6DE1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656277</xdr:colOff>
      <xdr:row>9</xdr:row>
      <xdr:rowOff>161823</xdr:rowOff>
    </xdr:from>
    <xdr:to>
      <xdr:col>11</xdr:col>
      <xdr:colOff>430394</xdr:colOff>
      <xdr:row>33</xdr:row>
      <xdr:rowOff>35648</xdr:rowOff>
    </xdr:to>
    <xdr:graphicFrame macro="">
      <xdr:nvGraphicFramePr>
        <xdr:cNvPr id="18" name="Chart 17">
          <a:extLst>
            <a:ext uri="{FF2B5EF4-FFF2-40B4-BE49-F238E27FC236}">
              <a16:creationId xmlns:a16="http://schemas.microsoft.com/office/drawing/2014/main" id="{B7C1ED10-C5D0-48D0-9679-EACEF25866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7938</xdr:colOff>
      <xdr:row>210</xdr:row>
      <xdr:rowOff>149905</xdr:rowOff>
    </xdr:from>
    <xdr:to>
      <xdr:col>11</xdr:col>
      <xdr:colOff>414902</xdr:colOff>
      <xdr:row>237</xdr:row>
      <xdr:rowOff>13751</xdr:rowOff>
    </xdr:to>
    <xdr:graphicFrame macro="">
      <xdr:nvGraphicFramePr>
        <xdr:cNvPr id="21" name="Chart 20">
          <a:extLst>
            <a:ext uri="{FF2B5EF4-FFF2-40B4-BE49-F238E27FC236}">
              <a16:creationId xmlns:a16="http://schemas.microsoft.com/office/drawing/2014/main" id="{F8688808-CAEF-4B93-A900-E02AB228632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241</xdr:row>
      <xdr:rowOff>0</xdr:rowOff>
    </xdr:from>
    <xdr:to>
      <xdr:col>11</xdr:col>
      <xdr:colOff>436169</xdr:colOff>
      <xdr:row>267</xdr:row>
      <xdr:rowOff>30458</xdr:rowOff>
    </xdr:to>
    <xdr:graphicFrame macro="">
      <xdr:nvGraphicFramePr>
        <xdr:cNvPr id="19" name="Chart 18">
          <a:extLst>
            <a:ext uri="{FF2B5EF4-FFF2-40B4-BE49-F238E27FC236}">
              <a16:creationId xmlns:a16="http://schemas.microsoft.com/office/drawing/2014/main" id="{C16B1283-1AA3-4F21-95B7-CD6355EF579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xdr:colOff>
      <xdr:row>64</xdr:row>
      <xdr:rowOff>0</xdr:rowOff>
    </xdr:from>
    <xdr:to>
      <xdr:col>11</xdr:col>
      <xdr:colOff>439736</xdr:colOff>
      <xdr:row>87</xdr:row>
      <xdr:rowOff>51625</xdr:rowOff>
    </xdr:to>
    <xdr:graphicFrame macro="">
      <xdr:nvGraphicFramePr>
        <xdr:cNvPr id="22" name="Chart 21">
          <a:extLst>
            <a:ext uri="{FF2B5EF4-FFF2-40B4-BE49-F238E27FC236}">
              <a16:creationId xmlns:a16="http://schemas.microsoft.com/office/drawing/2014/main" id="{F64FBD55-B6E7-458E-A20B-5A5B90CFBFD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151</xdr:row>
      <xdr:rowOff>0</xdr:rowOff>
    </xdr:from>
    <xdr:to>
      <xdr:col>11</xdr:col>
      <xdr:colOff>411499</xdr:colOff>
      <xdr:row>177</xdr:row>
      <xdr:rowOff>35750</xdr:rowOff>
    </xdr:to>
    <xdr:graphicFrame macro="">
      <xdr:nvGraphicFramePr>
        <xdr:cNvPr id="20" name="Chart 19">
          <a:extLst>
            <a:ext uri="{FF2B5EF4-FFF2-40B4-BE49-F238E27FC236}">
              <a16:creationId xmlns:a16="http://schemas.microsoft.com/office/drawing/2014/main" id="{8D98BCEC-4B45-4503-9F2C-E976B9D650B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271</xdr:row>
      <xdr:rowOff>0</xdr:rowOff>
    </xdr:from>
    <xdr:to>
      <xdr:col>11</xdr:col>
      <xdr:colOff>439735</xdr:colOff>
      <xdr:row>294</xdr:row>
      <xdr:rowOff>51625</xdr:rowOff>
    </xdr:to>
    <xdr:graphicFrame macro="">
      <xdr:nvGraphicFramePr>
        <xdr:cNvPr id="15" name="Chart 14">
          <a:extLst>
            <a:ext uri="{FF2B5EF4-FFF2-40B4-BE49-F238E27FC236}">
              <a16:creationId xmlns:a16="http://schemas.microsoft.com/office/drawing/2014/main" id="{38047B08-2FD6-43F8-8E61-AEA6EECD92B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298</xdr:row>
      <xdr:rowOff>0</xdr:rowOff>
    </xdr:from>
    <xdr:to>
      <xdr:col>11</xdr:col>
      <xdr:colOff>439735</xdr:colOff>
      <xdr:row>321</xdr:row>
      <xdr:rowOff>51625</xdr:rowOff>
    </xdr:to>
    <xdr:graphicFrame macro="">
      <xdr:nvGraphicFramePr>
        <xdr:cNvPr id="23" name="Chart 22">
          <a:extLst>
            <a:ext uri="{FF2B5EF4-FFF2-40B4-BE49-F238E27FC236}">
              <a16:creationId xmlns:a16="http://schemas.microsoft.com/office/drawing/2014/main" id="{A96CE261-ED72-4DAB-B052-F9F82319D1A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325</xdr:row>
      <xdr:rowOff>0</xdr:rowOff>
    </xdr:from>
    <xdr:to>
      <xdr:col>11</xdr:col>
      <xdr:colOff>437017</xdr:colOff>
      <xdr:row>354</xdr:row>
      <xdr:rowOff>92075</xdr:rowOff>
    </xdr:to>
    <xdr:graphicFrame macro="">
      <xdr:nvGraphicFramePr>
        <xdr:cNvPr id="24" name="Chart 23">
          <a:extLst>
            <a:ext uri="{FF2B5EF4-FFF2-40B4-BE49-F238E27FC236}">
              <a16:creationId xmlns:a16="http://schemas.microsoft.com/office/drawing/2014/main" id="{757196F9-6F17-4D2A-8DC8-58053B5922D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358</xdr:row>
      <xdr:rowOff>0</xdr:rowOff>
    </xdr:from>
    <xdr:to>
      <xdr:col>11</xdr:col>
      <xdr:colOff>422081</xdr:colOff>
      <xdr:row>381</xdr:row>
      <xdr:rowOff>51625</xdr:rowOff>
    </xdr:to>
    <xdr:graphicFrame macro="">
      <xdr:nvGraphicFramePr>
        <xdr:cNvPr id="25" name="Chart 24">
          <a:extLst>
            <a:ext uri="{FF2B5EF4-FFF2-40B4-BE49-F238E27FC236}">
              <a16:creationId xmlns:a16="http://schemas.microsoft.com/office/drawing/2014/main" id="{1FA829E6-3D45-4D2B-BCCD-B1757B0ADE5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385</xdr:row>
      <xdr:rowOff>0</xdr:rowOff>
    </xdr:from>
    <xdr:to>
      <xdr:col>11</xdr:col>
      <xdr:colOff>411499</xdr:colOff>
      <xdr:row>411</xdr:row>
      <xdr:rowOff>35750</xdr:rowOff>
    </xdr:to>
    <xdr:graphicFrame macro="">
      <xdr:nvGraphicFramePr>
        <xdr:cNvPr id="26" name="Chart 25">
          <a:extLst>
            <a:ext uri="{FF2B5EF4-FFF2-40B4-BE49-F238E27FC236}">
              <a16:creationId xmlns:a16="http://schemas.microsoft.com/office/drawing/2014/main" id="{9ADA09E2-FA2B-4595-B054-C6216150681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128182</xdr:colOff>
      <xdr:row>0</xdr:row>
      <xdr:rowOff>79375</xdr:rowOff>
    </xdr:from>
    <xdr:to>
      <xdr:col>3</xdr:col>
      <xdr:colOff>648611</xdr:colOff>
      <xdr:row>4</xdr:row>
      <xdr:rowOff>104504</xdr:rowOff>
    </xdr:to>
    <xdr:pic>
      <xdr:nvPicPr>
        <xdr:cNvPr id="2" name="Picture 1">
          <a:extLst>
            <a:ext uri="{FF2B5EF4-FFF2-40B4-BE49-F238E27FC236}">
              <a16:creationId xmlns:a16="http://schemas.microsoft.com/office/drawing/2014/main" id="{3BB6A4E7-0859-453A-B6E7-43EA496B9A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9120" y="79375"/>
          <a:ext cx="1195116" cy="717279"/>
        </a:xfrm>
        <a:prstGeom prst="rect">
          <a:avLst/>
        </a:prstGeom>
      </xdr:spPr>
    </xdr:pic>
    <xdr:clientData/>
  </xdr:twoCellAnchor>
  <xdr:twoCellAnchor editAs="oneCell">
    <xdr:from>
      <xdr:col>0</xdr:col>
      <xdr:colOff>329065</xdr:colOff>
      <xdr:row>0</xdr:row>
      <xdr:rowOff>68425</xdr:rowOff>
    </xdr:from>
    <xdr:to>
      <xdr:col>1</xdr:col>
      <xdr:colOff>1649266</xdr:colOff>
      <xdr:row>4</xdr:row>
      <xdr:rowOff>83938</xdr:rowOff>
    </xdr:to>
    <xdr:pic>
      <xdr:nvPicPr>
        <xdr:cNvPr id="3" name="Picture 2">
          <a:extLst>
            <a:ext uri="{FF2B5EF4-FFF2-40B4-BE49-F238E27FC236}">
              <a16:creationId xmlns:a16="http://schemas.microsoft.com/office/drawing/2014/main" id="{852BAB3C-E9A5-4285-A80A-7425765C43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9065" y="68425"/>
          <a:ext cx="2005230" cy="7172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www.gov.uk/government/collections/government-conversion-factors-for-company-report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82F18-7352-4EA6-B427-0C22FC52F237}">
  <sheetPr>
    <tabColor theme="0"/>
  </sheetPr>
  <dimension ref="B8:O61"/>
  <sheetViews>
    <sheetView showGridLines="0" topLeftCell="A7" zoomScale="130" zoomScaleNormal="130" workbookViewId="0">
      <selection activeCell="C15" sqref="C15"/>
    </sheetView>
  </sheetViews>
  <sheetFormatPr defaultColWidth="8.83203125" defaultRowHeight="14" x14ac:dyDescent="0.3"/>
  <cols>
    <col min="1" max="1" width="8.83203125" style="53"/>
    <col min="2" max="2" width="25.33203125" style="53" bestFit="1" customWidth="1"/>
    <col min="3" max="3" width="34" style="53" bestFit="1" customWidth="1"/>
    <col min="4" max="16384" width="8.83203125" style="53"/>
  </cols>
  <sheetData>
    <row r="8" spans="2:8" ht="14.5" thickBot="1" x14ac:dyDescent="0.35"/>
    <row r="9" spans="2:8" x14ac:dyDescent="0.3">
      <c r="B9" s="54"/>
      <c r="C9" s="54"/>
    </row>
    <row r="10" spans="2:8" s="57" customFormat="1" x14ac:dyDescent="0.3">
      <c r="B10" s="55" t="s">
        <v>536</v>
      </c>
      <c r="C10" s="56" t="s">
        <v>457</v>
      </c>
      <c r="F10" s="53"/>
      <c r="G10" s="53"/>
      <c r="H10" s="53"/>
    </row>
    <row r="11" spans="2:8" s="57" customFormat="1" x14ac:dyDescent="0.3">
      <c r="C11" s="58" t="s">
        <v>460</v>
      </c>
      <c r="F11" s="53"/>
      <c r="G11" s="53"/>
      <c r="H11" s="53"/>
    </row>
    <row r="12" spans="2:8" s="57" customFormat="1" x14ac:dyDescent="0.3">
      <c r="C12" s="59" t="s">
        <v>458</v>
      </c>
      <c r="F12" s="53"/>
      <c r="G12" s="53"/>
      <c r="H12" s="53"/>
    </row>
    <row r="13" spans="2:8" s="57" customFormat="1" ht="14.5" thickBot="1" x14ac:dyDescent="0.35">
      <c r="B13" s="60"/>
      <c r="C13" s="60"/>
      <c r="F13" s="53"/>
      <c r="G13" s="53"/>
      <c r="H13" s="53"/>
    </row>
    <row r="14" spans="2:8" s="57" customFormat="1" x14ac:dyDescent="0.3">
      <c r="F14" s="53"/>
      <c r="G14" s="53"/>
      <c r="H14" s="53"/>
    </row>
    <row r="15" spans="2:8" s="57" customFormat="1" x14ac:dyDescent="0.3">
      <c r="B15" s="55" t="s">
        <v>529</v>
      </c>
      <c r="C15" s="12" t="s">
        <v>6</v>
      </c>
      <c r="F15" s="53"/>
      <c r="G15" s="53"/>
      <c r="H15" s="53"/>
    </row>
    <row r="17" spans="2:15" x14ac:dyDescent="0.3">
      <c r="B17" s="55" t="s">
        <v>530</v>
      </c>
      <c r="C17" s="12" t="s">
        <v>477</v>
      </c>
    </row>
    <row r="18" spans="2:15" x14ac:dyDescent="0.3">
      <c r="B18" s="61"/>
    </row>
    <row r="19" spans="2:15" x14ac:dyDescent="0.3">
      <c r="B19" s="55" t="s">
        <v>531</v>
      </c>
      <c r="C19" s="12" t="s">
        <v>476</v>
      </c>
    </row>
    <row r="20" spans="2:15" x14ac:dyDescent="0.3">
      <c r="B20" s="61"/>
    </row>
    <row r="21" spans="2:15" s="57" customFormat="1" x14ac:dyDescent="0.3">
      <c r="B21" s="55" t="s">
        <v>532</v>
      </c>
      <c r="C21" s="12"/>
      <c r="F21" s="53"/>
      <c r="G21" s="53"/>
      <c r="H21" s="53"/>
    </row>
    <row r="22" spans="2:15" s="57" customFormat="1" x14ac:dyDescent="0.3">
      <c r="B22" s="55"/>
      <c r="C22" s="62"/>
      <c r="F22" s="53"/>
      <c r="G22" s="53"/>
      <c r="H22" s="53"/>
    </row>
    <row r="23" spans="2:15" s="57" customFormat="1" x14ac:dyDescent="0.3">
      <c r="B23" s="55" t="s">
        <v>533</v>
      </c>
      <c r="C23" s="63"/>
      <c r="F23" s="53"/>
      <c r="G23" s="53"/>
      <c r="H23" s="53"/>
    </row>
    <row r="24" spans="2:15" s="57" customFormat="1" x14ac:dyDescent="0.3">
      <c r="B24" s="55"/>
      <c r="C24" s="62"/>
      <c r="F24" s="53"/>
      <c r="G24" s="53"/>
      <c r="H24" s="53"/>
    </row>
    <row r="25" spans="2:15" s="57" customFormat="1" x14ac:dyDescent="0.3">
      <c r="B25" s="55" t="s">
        <v>534</v>
      </c>
      <c r="C25" s="63"/>
      <c r="F25" s="53"/>
      <c r="G25" s="53"/>
      <c r="H25" s="53"/>
    </row>
    <row r="26" spans="2:15" s="57" customFormat="1" x14ac:dyDescent="0.3">
      <c r="B26" s="55"/>
      <c r="C26" s="64"/>
      <c r="F26" s="53"/>
      <c r="G26" s="53"/>
      <c r="H26" s="53"/>
    </row>
    <row r="27" spans="2:15" s="57" customFormat="1" x14ac:dyDescent="0.3">
      <c r="B27" s="55" t="s">
        <v>535</v>
      </c>
      <c r="C27" s="13"/>
      <c r="F27" s="53"/>
      <c r="G27" s="53"/>
      <c r="H27" s="53"/>
    </row>
    <row r="28" spans="2:15" s="57" customFormat="1" x14ac:dyDescent="0.3">
      <c r="B28" s="55"/>
      <c r="C28" s="62"/>
      <c r="F28" s="53"/>
      <c r="G28" s="53"/>
      <c r="H28" s="53"/>
    </row>
    <row r="29" spans="2:15" s="57" customFormat="1" x14ac:dyDescent="0.3">
      <c r="B29" s="55" t="s">
        <v>27</v>
      </c>
      <c r="C29" s="13"/>
      <c r="F29" s="53"/>
      <c r="G29" s="53"/>
      <c r="H29" s="53"/>
    </row>
    <row r="30" spans="2:15" s="57" customFormat="1" x14ac:dyDescent="0.3">
      <c r="B30" s="55"/>
      <c r="C30" s="64"/>
      <c r="F30" s="53"/>
      <c r="G30" s="53"/>
      <c r="H30" s="53"/>
      <c r="K30" s="53"/>
      <c r="L30" s="53"/>
    </row>
    <row r="31" spans="2:15" s="57" customFormat="1" x14ac:dyDescent="0.3">
      <c r="B31" s="55" t="s">
        <v>28</v>
      </c>
      <c r="C31" s="14"/>
      <c r="D31" s="158" t="str">
        <f>IFERROR(IF(DATEDIF('GHG Emission Factors'!C11,C31,"Y")&gt;0,"Coversion factors are now more than a year old. Please contact Local Partnerships to obtain new year factors",""),"")</f>
        <v/>
      </c>
      <c r="E31" s="158"/>
      <c r="F31" s="158"/>
      <c r="G31" s="158"/>
      <c r="H31" s="158"/>
      <c r="I31" s="158"/>
      <c r="J31" s="158"/>
      <c r="K31" s="158"/>
      <c r="L31" s="158"/>
      <c r="M31" s="158"/>
      <c r="N31" s="158"/>
      <c r="O31" s="158"/>
    </row>
    <row r="32" spans="2:15" s="57" customFormat="1" ht="14.5" x14ac:dyDescent="0.3">
      <c r="B32" s="65" t="s">
        <v>459</v>
      </c>
      <c r="F32" s="53"/>
      <c r="G32" s="53"/>
      <c r="H32" s="53"/>
    </row>
    <row r="33" spans="2:14" ht="14.5" thickBot="1" x14ac:dyDescent="0.35"/>
    <row r="34" spans="2:14" ht="14.5" customHeight="1" thickTop="1" x14ac:dyDescent="0.3">
      <c r="B34" s="159" t="s">
        <v>668</v>
      </c>
      <c r="C34" s="159"/>
      <c r="D34" s="159"/>
      <c r="E34" s="159"/>
      <c r="F34" s="159"/>
      <c r="G34" s="159"/>
      <c r="H34" s="159"/>
      <c r="I34" s="159"/>
      <c r="J34" s="159"/>
      <c r="K34" s="159"/>
      <c r="L34" s="159"/>
      <c r="M34" s="159"/>
      <c r="N34" s="159"/>
    </row>
    <row r="35" spans="2:14" x14ac:dyDescent="0.3">
      <c r="B35" s="160"/>
      <c r="C35" s="160"/>
      <c r="D35" s="160"/>
      <c r="E35" s="160"/>
      <c r="F35" s="160"/>
      <c r="G35" s="160"/>
      <c r="H35" s="160"/>
      <c r="I35" s="160"/>
      <c r="J35" s="160"/>
      <c r="K35" s="160"/>
      <c r="L35" s="160"/>
      <c r="M35" s="160"/>
      <c r="N35" s="160"/>
    </row>
    <row r="36" spans="2:14" x14ac:dyDescent="0.3">
      <c r="B36" s="160"/>
      <c r="C36" s="160"/>
      <c r="D36" s="160"/>
      <c r="E36" s="160"/>
      <c r="F36" s="160"/>
      <c r="G36" s="160"/>
      <c r="H36" s="160"/>
      <c r="I36" s="160"/>
      <c r="J36" s="160"/>
      <c r="K36" s="160"/>
      <c r="L36" s="160"/>
      <c r="M36" s="160"/>
      <c r="N36" s="160"/>
    </row>
    <row r="37" spans="2:14" x14ac:dyDescent="0.3">
      <c r="B37" s="160"/>
      <c r="C37" s="160"/>
      <c r="D37" s="160"/>
      <c r="E37" s="160"/>
      <c r="F37" s="160"/>
      <c r="G37" s="160"/>
      <c r="H37" s="160"/>
      <c r="I37" s="160"/>
      <c r="J37" s="160"/>
      <c r="K37" s="160"/>
      <c r="L37" s="160"/>
      <c r="M37" s="160"/>
      <c r="N37" s="160"/>
    </row>
    <row r="38" spans="2:14" x14ac:dyDescent="0.3">
      <c r="B38" s="160"/>
      <c r="C38" s="160"/>
      <c r="D38" s="160"/>
      <c r="E38" s="160"/>
      <c r="F38" s="160"/>
      <c r="G38" s="160"/>
      <c r="H38" s="160"/>
      <c r="I38" s="160"/>
      <c r="J38" s="160"/>
      <c r="K38" s="160"/>
      <c r="L38" s="160"/>
      <c r="M38" s="160"/>
      <c r="N38" s="160"/>
    </row>
    <row r="39" spans="2:14" x14ac:dyDescent="0.3">
      <c r="B39" s="160"/>
      <c r="C39" s="160"/>
      <c r="D39" s="160"/>
      <c r="E39" s="160"/>
      <c r="F39" s="160"/>
      <c r="G39" s="160"/>
      <c r="H39" s="160"/>
      <c r="I39" s="160"/>
      <c r="J39" s="160"/>
      <c r="K39" s="160"/>
      <c r="L39" s="160"/>
      <c r="M39" s="160"/>
      <c r="N39" s="160"/>
    </row>
    <row r="40" spans="2:14" x14ac:dyDescent="0.3">
      <c r="B40" s="160"/>
      <c r="C40" s="160"/>
      <c r="D40" s="160"/>
      <c r="E40" s="160"/>
      <c r="F40" s="160"/>
      <c r="G40" s="160"/>
      <c r="H40" s="160"/>
      <c r="I40" s="160"/>
      <c r="J40" s="160"/>
      <c r="K40" s="160"/>
      <c r="L40" s="160"/>
      <c r="M40" s="160"/>
      <c r="N40" s="160"/>
    </row>
    <row r="41" spans="2:14" x14ac:dyDescent="0.3">
      <c r="B41" s="160"/>
      <c r="C41" s="160"/>
      <c r="D41" s="160"/>
      <c r="E41" s="160"/>
      <c r="F41" s="160"/>
      <c r="G41" s="160"/>
      <c r="H41" s="160"/>
      <c r="I41" s="160"/>
      <c r="J41" s="160"/>
      <c r="K41" s="160"/>
      <c r="L41" s="160"/>
      <c r="M41" s="160"/>
      <c r="N41" s="160"/>
    </row>
    <row r="42" spans="2:14" x14ac:dyDescent="0.3">
      <c r="B42" s="160"/>
      <c r="C42" s="160"/>
      <c r="D42" s="160"/>
      <c r="E42" s="160"/>
      <c r="F42" s="160"/>
      <c r="G42" s="160"/>
      <c r="H42" s="160"/>
      <c r="I42" s="160"/>
      <c r="J42" s="160"/>
      <c r="K42" s="160"/>
      <c r="L42" s="160"/>
      <c r="M42" s="160"/>
      <c r="N42" s="160"/>
    </row>
    <row r="43" spans="2:14" x14ac:dyDescent="0.3">
      <c r="B43" s="160"/>
      <c r="C43" s="160"/>
      <c r="D43" s="160"/>
      <c r="E43" s="160"/>
      <c r="F43" s="160"/>
      <c r="G43" s="160"/>
      <c r="H43" s="160"/>
      <c r="I43" s="160"/>
      <c r="J43" s="160"/>
      <c r="K43" s="160"/>
      <c r="L43" s="160"/>
      <c r="M43" s="160"/>
      <c r="N43" s="160"/>
    </row>
    <row r="44" spans="2:14" x14ac:dyDescent="0.3">
      <c r="B44" s="160"/>
      <c r="C44" s="160"/>
      <c r="D44" s="160"/>
      <c r="E44" s="160"/>
      <c r="F44" s="160"/>
      <c r="G44" s="160"/>
      <c r="H44" s="160"/>
      <c r="I44" s="160"/>
      <c r="J44" s="160"/>
      <c r="K44" s="160"/>
      <c r="L44" s="160"/>
      <c r="M44" s="160"/>
      <c r="N44" s="160"/>
    </row>
    <row r="45" spans="2:14" x14ac:dyDescent="0.3">
      <c r="B45" s="160"/>
      <c r="C45" s="160"/>
      <c r="D45" s="160"/>
      <c r="E45" s="160"/>
      <c r="F45" s="160"/>
      <c r="G45" s="160"/>
      <c r="H45" s="160"/>
      <c r="I45" s="160"/>
      <c r="J45" s="160"/>
      <c r="K45" s="160"/>
      <c r="L45" s="160"/>
      <c r="M45" s="160"/>
      <c r="N45" s="160"/>
    </row>
    <row r="46" spans="2:14" x14ac:dyDescent="0.3">
      <c r="B46" s="160"/>
      <c r="C46" s="160"/>
      <c r="D46" s="160"/>
      <c r="E46" s="160"/>
      <c r="F46" s="160"/>
      <c r="G46" s="160"/>
      <c r="H46" s="160"/>
      <c r="I46" s="160"/>
      <c r="J46" s="160"/>
      <c r="K46" s="160"/>
      <c r="L46" s="160"/>
      <c r="M46" s="160"/>
      <c r="N46" s="160"/>
    </row>
    <row r="47" spans="2:14" x14ac:dyDescent="0.3">
      <c r="B47" s="160"/>
      <c r="C47" s="160"/>
      <c r="D47" s="160"/>
      <c r="E47" s="160"/>
      <c r="F47" s="160"/>
      <c r="G47" s="160"/>
      <c r="H47" s="160"/>
      <c r="I47" s="160"/>
      <c r="J47" s="160"/>
      <c r="K47" s="160"/>
      <c r="L47" s="160"/>
      <c r="M47" s="160"/>
      <c r="N47" s="160"/>
    </row>
    <row r="48" spans="2:14" x14ac:dyDescent="0.3">
      <c r="B48" s="160"/>
      <c r="C48" s="160"/>
      <c r="D48" s="160"/>
      <c r="E48" s="160"/>
      <c r="F48" s="160"/>
      <c r="G48" s="160"/>
      <c r="H48" s="160"/>
      <c r="I48" s="160"/>
      <c r="J48" s="160"/>
      <c r="K48" s="160"/>
      <c r="L48" s="160"/>
      <c r="M48" s="160"/>
      <c r="N48" s="160"/>
    </row>
    <row r="49" spans="2:14" x14ac:dyDescent="0.3">
      <c r="B49" s="160"/>
      <c r="C49" s="160"/>
      <c r="D49" s="160"/>
      <c r="E49" s="160"/>
      <c r="F49" s="160"/>
      <c r="G49" s="160"/>
      <c r="H49" s="160"/>
      <c r="I49" s="160"/>
      <c r="J49" s="160"/>
      <c r="K49" s="160"/>
      <c r="L49" s="160"/>
      <c r="M49" s="160"/>
      <c r="N49" s="160"/>
    </row>
    <row r="50" spans="2:14" x14ac:dyDescent="0.3">
      <c r="B50" s="160"/>
      <c r="C50" s="160"/>
      <c r="D50" s="160"/>
      <c r="E50" s="160"/>
      <c r="F50" s="160"/>
      <c r="G50" s="160"/>
      <c r="H50" s="160"/>
      <c r="I50" s="160"/>
      <c r="J50" s="160"/>
      <c r="K50" s="160"/>
      <c r="L50" s="160"/>
      <c r="M50" s="160"/>
      <c r="N50" s="160"/>
    </row>
    <row r="51" spans="2:14" x14ac:dyDescent="0.3">
      <c r="B51" s="160"/>
      <c r="C51" s="160"/>
      <c r="D51" s="160"/>
      <c r="E51" s="160"/>
      <c r="F51" s="160"/>
      <c r="G51" s="160"/>
      <c r="H51" s="160"/>
      <c r="I51" s="160"/>
      <c r="J51" s="160"/>
      <c r="K51" s="160"/>
      <c r="L51" s="160"/>
      <c r="M51" s="160"/>
      <c r="N51" s="160"/>
    </row>
    <row r="52" spans="2:14" x14ac:dyDescent="0.3">
      <c r="B52" s="160"/>
      <c r="C52" s="160"/>
      <c r="D52" s="160"/>
      <c r="E52" s="160"/>
      <c r="F52" s="160"/>
      <c r="G52" s="160"/>
      <c r="H52" s="160"/>
      <c r="I52" s="160"/>
      <c r="J52" s="160"/>
      <c r="K52" s="160"/>
      <c r="L52" s="160"/>
      <c r="M52" s="160"/>
      <c r="N52" s="160"/>
    </row>
    <row r="53" spans="2:14" x14ac:dyDescent="0.3">
      <c r="B53" s="160"/>
      <c r="C53" s="160"/>
      <c r="D53" s="160"/>
      <c r="E53" s="160"/>
      <c r="F53" s="160"/>
      <c r="G53" s="160"/>
      <c r="H53" s="160"/>
      <c r="I53" s="160"/>
      <c r="J53" s="160"/>
      <c r="K53" s="160"/>
      <c r="L53" s="160"/>
      <c r="M53" s="160"/>
      <c r="N53" s="160"/>
    </row>
    <row r="54" spans="2:14" x14ac:dyDescent="0.3">
      <c r="B54" s="160"/>
      <c r="C54" s="160"/>
      <c r="D54" s="160"/>
      <c r="E54" s="160"/>
      <c r="F54" s="160"/>
      <c r="G54" s="160"/>
      <c r="H54" s="160"/>
      <c r="I54" s="160"/>
      <c r="J54" s="160"/>
      <c r="K54" s="160"/>
      <c r="L54" s="160"/>
      <c r="M54" s="160"/>
      <c r="N54" s="160"/>
    </row>
    <row r="55" spans="2:14" x14ac:dyDescent="0.3">
      <c r="B55" s="160"/>
      <c r="C55" s="160"/>
      <c r="D55" s="160"/>
      <c r="E55" s="160"/>
      <c r="F55" s="160"/>
      <c r="G55" s="160"/>
      <c r="H55" s="160"/>
      <c r="I55" s="160"/>
      <c r="J55" s="160"/>
      <c r="K55" s="160"/>
      <c r="L55" s="160"/>
      <c r="M55" s="160"/>
      <c r="N55" s="160"/>
    </row>
    <row r="56" spans="2:14" x14ac:dyDescent="0.3">
      <c r="B56" s="160"/>
      <c r="C56" s="160"/>
      <c r="D56" s="160"/>
      <c r="E56" s="160"/>
      <c r="F56" s="160"/>
      <c r="G56" s="160"/>
      <c r="H56" s="160"/>
      <c r="I56" s="160"/>
      <c r="J56" s="160"/>
      <c r="K56" s="160"/>
      <c r="L56" s="160"/>
      <c r="M56" s="160"/>
      <c r="N56" s="160"/>
    </row>
    <row r="57" spans="2:14" ht="27.5" customHeight="1" x14ac:dyDescent="0.3">
      <c r="B57" s="160"/>
      <c r="C57" s="160"/>
      <c r="D57" s="160"/>
      <c r="E57" s="160"/>
      <c r="F57" s="160"/>
      <c r="G57" s="160"/>
      <c r="H57" s="160"/>
      <c r="I57" s="160"/>
      <c r="J57" s="160"/>
      <c r="K57" s="160"/>
      <c r="L57" s="160"/>
      <c r="M57" s="160"/>
      <c r="N57" s="160"/>
    </row>
    <row r="58" spans="2:14" ht="14.5" thickBot="1" x14ac:dyDescent="0.35">
      <c r="B58" s="66"/>
      <c r="C58" s="67"/>
      <c r="D58" s="67"/>
      <c r="E58" s="67"/>
      <c r="F58" s="67"/>
      <c r="G58" s="67"/>
      <c r="H58" s="67"/>
      <c r="I58" s="67"/>
      <c r="J58" s="67"/>
      <c r="K58" s="67"/>
      <c r="L58" s="67"/>
      <c r="M58" s="67"/>
      <c r="N58" s="67"/>
    </row>
    <row r="59" spans="2:14" ht="14.5" thickTop="1" x14ac:dyDescent="0.3"/>
    <row r="60" spans="2:14" x14ac:dyDescent="0.3">
      <c r="B60" s="68" t="s">
        <v>537</v>
      </c>
    </row>
    <row r="61" spans="2:14" x14ac:dyDescent="0.3">
      <c r="B61" s="53" t="s">
        <v>573</v>
      </c>
    </row>
  </sheetData>
  <mergeCells count="2">
    <mergeCell ref="D31:O31"/>
    <mergeCell ref="B34:N57"/>
  </mergeCells>
  <conditionalFormatting sqref="D31">
    <cfRule type="containsText" dxfId="26" priority="1" operator="containsText" text="Coversion factors are now more than a year old. Please contact Local Partnerships to obtain new year factors">
      <formula>NOT(ISERROR(SEARCH("Coversion factors are now more than a year old. Please contact Local Partnerships to obtain new year factors",D31)))</formula>
    </cfRule>
  </conditionalFormatting>
  <dataValidations count="1">
    <dataValidation type="custom" allowBlank="1" showInputMessage="1" showErrorMessage="1" errorTitle="Not a Valid Date" error="The data entered is not a valid date, please click the &quot;Retry&quot; button and enter a date in a DD/MM/YYY format." sqref="C31" xr:uid="{FE6A0AF6-C5E0-47EB-940E-9231983E2D54}">
      <formula1>AND(ISNUMBER(C31),LEFT(CELL("format",C31),1)="D")</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Reporting Year" prompt="Please select the reporting year for consumption data" xr:uid="{62E7D7F0-F5D9-45A7-A7AB-956E75DACE41}">
          <x14:formula1>
            <xm:f>'List Tab'!$B$4:$B$16</xm:f>
          </x14:formula1>
          <xm:sqref>C15:C16 C18 C20</xm:sqref>
        </x14:dataValidation>
        <x14:dataValidation type="list" allowBlank="1" showInputMessage="1" showErrorMessage="1" errorTitle="Reporting Year Start" error="Please select start month of reporting year" xr:uid="{F38F1B8C-9DAE-4273-B110-CDD0BE6FAF0D}">
          <x14:formula1>
            <xm:f>'List Tab'!$D$4:$D$16</xm:f>
          </x14:formula1>
          <xm:sqref>C17</xm:sqref>
        </x14:dataValidation>
        <x14:dataValidation type="list" allowBlank="1" showInputMessage="1" showErrorMessage="1" errorTitle="Reporting Year End" error="Please select end month of reporting year" xr:uid="{6FF30A36-C484-4DF5-B93C-4BC2F36E9B51}">
          <x14:formula1>
            <xm:f>'List Tab'!$D$4:$D$16</xm:f>
          </x14:formula1>
          <xm:sqref>C19</xm:sqref>
        </x14:dataValidation>
        <x14:dataValidation type="list" allowBlank="1" showInputMessage="1" showErrorMessage="1" promptTitle="Authority Name" prompt="Please select the authority from the list" xr:uid="{FE1900D8-1B7E-48E0-94F1-40FBB2B4313B}">
          <x14:formula1>
            <xm:f>'List Tab'!$F$4:$F$378</xm:f>
          </x14:formula1>
          <xm:sqref>C21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8B702-FE3C-4519-A98A-308821E97CE4}">
  <sheetPr>
    <tabColor rgb="FF253746"/>
  </sheetPr>
  <dimension ref="B1:DK33"/>
  <sheetViews>
    <sheetView showGridLines="0" zoomScale="40" zoomScaleNormal="40" workbookViewId="0">
      <pane xSplit="3" ySplit="16" topLeftCell="D17" activePane="bottomRight" state="frozen"/>
      <selection pane="topRight" activeCell="D1" sqref="D1"/>
      <selection pane="bottomLeft" activeCell="A17" sqref="A17"/>
      <selection pane="bottomRight" activeCell="Q84" sqref="Q84"/>
    </sheetView>
  </sheetViews>
  <sheetFormatPr defaultColWidth="8.83203125" defaultRowHeight="14" x14ac:dyDescent="0.3"/>
  <cols>
    <col min="2" max="2" width="22.83203125" bestFit="1" customWidth="1"/>
    <col min="4" max="4" width="11.33203125" customWidth="1"/>
    <col min="5" max="5" width="21.58203125" customWidth="1"/>
    <col min="6" max="6" width="7.08203125" customWidth="1"/>
    <col min="7" max="8" width="12.83203125" customWidth="1"/>
    <col min="9" max="9" width="22.4140625" customWidth="1"/>
    <col min="10" max="10" width="12.83203125" customWidth="1"/>
    <col min="11" max="11" width="17.6640625" customWidth="1"/>
    <col min="12" max="12" width="21.58203125" customWidth="1"/>
    <col min="13" max="13" width="7.08203125" customWidth="1"/>
    <col min="14" max="14" width="7.5" customWidth="1"/>
    <col min="15" max="15" width="8.6640625" customWidth="1"/>
    <col min="16" max="16" width="12.83203125" customWidth="1"/>
    <col min="17" max="17" width="24.5" customWidth="1"/>
    <col min="18" max="18" width="30" customWidth="1"/>
    <col min="19" max="19" width="24.58203125" customWidth="1"/>
    <col min="20" max="20" width="12.1640625" customWidth="1"/>
    <col min="21" max="21" width="36" customWidth="1"/>
    <col min="22" max="22" width="37.83203125" customWidth="1"/>
    <col min="23" max="23" width="36.33203125" customWidth="1"/>
    <col min="24" max="24" width="10.33203125" customWidth="1"/>
    <col min="25" max="25" width="8" customWidth="1"/>
    <col min="26" max="26" width="25.83203125" customWidth="1"/>
    <col min="27" max="27" width="29.1640625" customWidth="1"/>
    <col min="28" max="28" width="24.5" customWidth="1"/>
    <col min="29" max="29" width="15.83203125" customWidth="1"/>
    <col min="30" max="30" width="18.08203125" customWidth="1"/>
    <col min="31" max="31" width="15.83203125" customWidth="1"/>
    <col min="32" max="32" width="15.33203125" customWidth="1"/>
    <col min="33" max="33" width="34.58203125" customWidth="1"/>
    <col min="34" max="34" width="27.1640625" customWidth="1"/>
    <col min="35" max="35" width="32.58203125" customWidth="1"/>
    <col min="36" max="36" width="22.33203125" customWidth="1"/>
    <col min="37" max="37" width="14.33203125" customWidth="1"/>
    <col min="38" max="38" width="25.6640625" customWidth="1"/>
    <col min="39" max="39" width="21.33203125" customWidth="1"/>
    <col min="40" max="40" width="19.58203125" customWidth="1"/>
    <col min="41" max="41" width="9.08203125" customWidth="1"/>
    <col min="42" max="42" width="28.58203125" customWidth="1"/>
    <col min="43" max="43" width="28.33203125" customWidth="1"/>
    <col min="44" max="52" width="20.33203125" customWidth="1"/>
    <col min="53" max="56" width="33.1640625" customWidth="1"/>
    <col min="57" max="57" width="52.58203125" customWidth="1"/>
    <col min="58" max="58" width="36.58203125" customWidth="1"/>
    <col min="59" max="59" width="34.58203125" customWidth="1"/>
    <col min="60" max="60" width="25.83203125" customWidth="1"/>
    <col min="61" max="61" width="29.1640625" customWidth="1"/>
    <col min="62" max="63" width="24.5" customWidth="1"/>
    <col min="64" max="64" width="29.5" customWidth="1"/>
    <col min="65" max="65" width="24.58203125" customWidth="1"/>
    <col min="66" max="66" width="15.83203125" customWidth="1"/>
    <col min="67" max="67" width="18.08203125" customWidth="1"/>
    <col min="68" max="68" width="15.83203125" customWidth="1"/>
    <col min="69" max="69" width="18.1640625" customWidth="1"/>
    <col min="70" max="70" width="31" customWidth="1"/>
    <col min="71" max="71" width="39.83203125" customWidth="1"/>
    <col min="72" max="72" width="13.08203125" customWidth="1"/>
    <col min="73" max="73" width="16.1640625" customWidth="1"/>
    <col min="74" max="74" width="17.5" customWidth="1"/>
    <col min="75" max="75" width="25" customWidth="1"/>
    <col min="76" max="76" width="30.4140625" customWidth="1"/>
    <col min="77" max="77" width="29.9140625" customWidth="1"/>
    <col min="78" max="78" width="27.5" customWidth="1"/>
    <col min="79" max="79" width="25.1640625" bestFit="1" customWidth="1"/>
    <col min="80" max="80" width="30" customWidth="1"/>
    <col min="81" max="81" width="30.1640625" customWidth="1"/>
    <col min="82" max="82" width="26.6640625" bestFit="1" customWidth="1"/>
    <col min="83" max="84" width="31.33203125" customWidth="1"/>
    <col min="85" max="85" width="27.5" customWidth="1"/>
    <col min="86" max="86" width="27.08203125" customWidth="1"/>
    <col min="87" max="87" width="9" bestFit="1" customWidth="1"/>
    <col min="88" max="88" width="8.6640625" customWidth="1"/>
    <col min="89" max="89" width="17.1640625" bestFit="1" customWidth="1"/>
    <col min="90" max="90" width="13" bestFit="1" customWidth="1"/>
    <col min="91" max="91" width="39.1640625" bestFit="1" customWidth="1"/>
    <col min="92" max="94" width="39.1640625" customWidth="1"/>
    <col min="95" max="95" width="33" bestFit="1" customWidth="1"/>
    <col min="96" max="96" width="41.4140625" bestFit="1" customWidth="1"/>
    <col min="97" max="97" width="47.58203125" bestFit="1" customWidth="1"/>
    <col min="98" max="98" width="43" bestFit="1" customWidth="1"/>
    <col min="99" max="99" width="38.33203125" bestFit="1" customWidth="1"/>
    <col min="100" max="100" width="18.83203125" bestFit="1" customWidth="1"/>
    <col min="101" max="101" width="28.33203125" bestFit="1" customWidth="1"/>
    <col min="102" max="102" width="23.6640625" bestFit="1" customWidth="1"/>
    <col min="103" max="103" width="23.4140625" bestFit="1" customWidth="1"/>
    <col min="104" max="104" width="23.1640625" bestFit="1" customWidth="1"/>
    <col min="105" max="105" width="32.83203125" bestFit="1" customWidth="1"/>
    <col min="106" max="106" width="28.33203125" bestFit="1" customWidth="1"/>
    <col min="107" max="107" width="31.58203125" bestFit="1" customWidth="1"/>
    <col min="108" max="108" width="31.4140625" bestFit="1" customWidth="1"/>
    <col min="109" max="109" width="40.83203125" bestFit="1" customWidth="1"/>
    <col min="110" max="110" width="36.33203125" bestFit="1" customWidth="1"/>
    <col min="111" max="113" width="36.33203125" customWidth="1"/>
    <col min="114" max="114" width="23.08203125" bestFit="1" customWidth="1"/>
  </cols>
  <sheetData>
    <row r="1" spans="2:115" s="1" customFormat="1" x14ac:dyDescent="0.3"/>
    <row r="2" spans="2:115" s="1" customFormat="1" x14ac:dyDescent="0.3"/>
    <row r="3" spans="2:115" s="1" customFormat="1" x14ac:dyDescent="0.3"/>
    <row r="4" spans="2:115" s="1" customFormat="1" x14ac:dyDescent="0.3">
      <c r="G4"/>
      <c r="H4"/>
      <c r="I4"/>
      <c r="J4"/>
      <c r="K4"/>
      <c r="L4"/>
      <c r="M4"/>
      <c r="N4"/>
      <c r="O4"/>
      <c r="P4"/>
      <c r="Q4"/>
      <c r="R4"/>
      <c r="S4"/>
      <c r="CM4" s="111"/>
      <c r="CN4" s="111"/>
      <c r="CO4" s="111"/>
      <c r="CP4" s="111"/>
    </row>
    <row r="5" spans="2:115" s="1" customFormat="1" x14ac:dyDescent="0.3">
      <c r="G5"/>
      <c r="H5"/>
      <c r="I5"/>
      <c r="J5"/>
      <c r="K5"/>
      <c r="L5"/>
      <c r="M5"/>
      <c r="N5"/>
      <c r="O5"/>
      <c r="P5"/>
      <c r="Q5"/>
      <c r="R5"/>
      <c r="S5"/>
      <c r="CM5" s="53"/>
      <c r="CN5" s="53"/>
      <c r="CO5" s="53"/>
      <c r="CP5" s="53"/>
    </row>
    <row r="6" spans="2:115" s="1" customFormat="1" x14ac:dyDescent="0.3">
      <c r="G6"/>
      <c r="H6"/>
      <c r="I6"/>
      <c r="J6"/>
      <c r="K6"/>
      <c r="L6"/>
      <c r="M6"/>
      <c r="N6"/>
      <c r="O6"/>
      <c r="P6"/>
      <c r="Q6"/>
      <c r="R6"/>
      <c r="S6"/>
      <c r="CM6" s="53"/>
      <c r="CN6" s="53"/>
      <c r="CO6" s="53"/>
      <c r="CP6" s="53"/>
    </row>
    <row r="7" spans="2:115" x14ac:dyDescent="0.3">
      <c r="B7" s="41" t="s">
        <v>470</v>
      </c>
      <c r="C7" s="200" t="s">
        <v>32</v>
      </c>
      <c r="D7" s="200"/>
      <c r="E7" s="200"/>
      <c r="F7" s="200"/>
      <c r="G7" s="200"/>
      <c r="H7" s="200"/>
      <c r="I7" s="200"/>
      <c r="J7" s="200"/>
      <c r="K7" s="200"/>
      <c r="L7" s="200"/>
      <c r="M7" s="200"/>
      <c r="N7" s="43"/>
      <c r="O7" s="43"/>
      <c r="P7" s="43"/>
      <c r="Q7" s="3"/>
      <c r="R7" s="3"/>
      <c r="S7" s="3"/>
      <c r="T7" s="3"/>
      <c r="U7" s="3"/>
      <c r="BV7" s="1"/>
      <c r="BW7" s="1"/>
      <c r="BX7" s="1"/>
      <c r="BY7" s="1"/>
      <c r="BZ7" s="1"/>
      <c r="CA7" s="1"/>
      <c r="CB7" s="1"/>
      <c r="CC7" s="1"/>
      <c r="CD7" s="1"/>
      <c r="CE7" s="1"/>
      <c r="CF7" s="1"/>
      <c r="CG7" s="1"/>
      <c r="CH7" s="1"/>
      <c r="CM7" s="53"/>
      <c r="CN7" s="53"/>
      <c r="CO7" s="53"/>
      <c r="CP7" s="53"/>
      <c r="DK7" s="1"/>
    </row>
    <row r="8" spans="2:115" x14ac:dyDescent="0.3">
      <c r="B8" s="26"/>
      <c r="DK8" s="1"/>
    </row>
    <row r="9" spans="2:115" x14ac:dyDescent="0.3">
      <c r="B9" s="41" t="s">
        <v>471</v>
      </c>
      <c r="C9" s="202" t="s">
        <v>46</v>
      </c>
      <c r="D9" s="202"/>
      <c r="DK9" s="1"/>
    </row>
    <row r="10" spans="2:115" x14ac:dyDescent="0.3">
      <c r="B10" s="26"/>
      <c r="DK10" s="1"/>
    </row>
    <row r="11" spans="2:115" x14ac:dyDescent="0.3">
      <c r="B11" s="41" t="s">
        <v>449</v>
      </c>
      <c r="C11" s="201">
        <v>44349</v>
      </c>
      <c r="D11" s="201"/>
      <c r="DK11" s="1"/>
    </row>
    <row r="12" spans="2:115" x14ac:dyDescent="0.3">
      <c r="B12" s="41"/>
      <c r="C12" s="44"/>
      <c r="DK12" s="1"/>
    </row>
    <row r="13" spans="2:115" s="155" customFormat="1" x14ac:dyDescent="0.3">
      <c r="D13" s="156">
        <v>3</v>
      </c>
      <c r="E13" s="156">
        <v>4</v>
      </c>
      <c r="F13" s="156">
        <v>5</v>
      </c>
      <c r="G13" s="156">
        <v>6</v>
      </c>
      <c r="H13" s="156">
        <v>7</v>
      </c>
      <c r="I13" s="156">
        <v>8</v>
      </c>
      <c r="J13" s="156">
        <v>9</v>
      </c>
      <c r="K13" s="156">
        <v>10</v>
      </c>
      <c r="L13" s="156">
        <v>11</v>
      </c>
      <c r="M13" s="156">
        <v>12</v>
      </c>
      <c r="N13" s="156">
        <v>13</v>
      </c>
      <c r="O13" s="156">
        <v>14</v>
      </c>
      <c r="P13" s="156">
        <v>15</v>
      </c>
      <c r="Q13" s="156">
        <v>16</v>
      </c>
      <c r="R13" s="156">
        <v>17</v>
      </c>
      <c r="S13" s="156">
        <v>18</v>
      </c>
      <c r="T13" s="156">
        <v>19</v>
      </c>
      <c r="U13" s="156">
        <v>20</v>
      </c>
      <c r="V13" s="156">
        <v>21</v>
      </c>
      <c r="W13" s="156">
        <v>22</v>
      </c>
      <c r="X13" s="156">
        <v>23</v>
      </c>
      <c r="Y13" s="156">
        <v>24</v>
      </c>
      <c r="Z13" s="156">
        <v>25</v>
      </c>
      <c r="AA13" s="156">
        <v>26</v>
      </c>
      <c r="AB13" s="156">
        <v>27</v>
      </c>
      <c r="AC13" s="156">
        <v>28</v>
      </c>
      <c r="AD13" s="156">
        <v>29</v>
      </c>
      <c r="AE13" s="156">
        <v>30</v>
      </c>
      <c r="AF13" s="156">
        <v>31</v>
      </c>
      <c r="AG13" s="156">
        <v>32</v>
      </c>
      <c r="AH13" s="156">
        <v>33</v>
      </c>
      <c r="AI13" s="156">
        <v>34</v>
      </c>
      <c r="AJ13" s="156">
        <v>35</v>
      </c>
      <c r="AK13" s="156">
        <v>36</v>
      </c>
      <c r="AL13" s="156">
        <v>37</v>
      </c>
      <c r="AM13" s="156">
        <v>38</v>
      </c>
      <c r="AN13" s="156">
        <v>39</v>
      </c>
      <c r="AO13" s="156">
        <v>40</v>
      </c>
      <c r="AP13" s="156">
        <v>41</v>
      </c>
      <c r="AQ13" s="156">
        <v>42</v>
      </c>
      <c r="AR13" s="156">
        <v>43</v>
      </c>
      <c r="AS13" s="156">
        <v>44</v>
      </c>
      <c r="AT13" s="156">
        <v>45</v>
      </c>
      <c r="AU13" s="156">
        <v>46</v>
      </c>
      <c r="AV13" s="156">
        <v>47</v>
      </c>
      <c r="AW13" s="156">
        <v>48</v>
      </c>
      <c r="AX13" s="156">
        <v>49</v>
      </c>
      <c r="AY13" s="156">
        <v>50</v>
      </c>
      <c r="AZ13" s="156">
        <v>51</v>
      </c>
      <c r="BA13" s="156">
        <v>52</v>
      </c>
      <c r="BB13" s="156">
        <v>53</v>
      </c>
      <c r="BC13" s="156">
        <v>54</v>
      </c>
      <c r="BD13" s="156">
        <v>55</v>
      </c>
      <c r="BE13" s="156">
        <v>56</v>
      </c>
      <c r="BF13" s="156">
        <v>57</v>
      </c>
      <c r="BG13" s="156">
        <v>58</v>
      </c>
      <c r="BH13" s="156">
        <v>59</v>
      </c>
      <c r="BI13" s="156">
        <v>60</v>
      </c>
      <c r="BJ13" s="156">
        <v>61</v>
      </c>
      <c r="BK13" s="156">
        <v>62</v>
      </c>
      <c r="BL13" s="156">
        <v>63</v>
      </c>
      <c r="BM13" s="156">
        <v>64</v>
      </c>
      <c r="BN13" s="156">
        <v>65</v>
      </c>
      <c r="BO13" s="156">
        <v>66</v>
      </c>
      <c r="BP13" s="156">
        <v>67</v>
      </c>
      <c r="BQ13" s="156">
        <v>68</v>
      </c>
      <c r="BR13" s="156">
        <v>69</v>
      </c>
      <c r="BS13" s="156">
        <v>70</v>
      </c>
      <c r="BT13" s="156">
        <v>71</v>
      </c>
      <c r="BU13" s="156">
        <v>72</v>
      </c>
      <c r="BV13" s="156">
        <v>73</v>
      </c>
      <c r="BW13" s="156">
        <v>74</v>
      </c>
      <c r="BX13" s="156">
        <v>75</v>
      </c>
      <c r="BY13" s="156">
        <v>76</v>
      </c>
      <c r="BZ13" s="156">
        <v>77</v>
      </c>
      <c r="CA13" s="156">
        <v>78</v>
      </c>
      <c r="CB13" s="156">
        <v>79</v>
      </c>
      <c r="CC13" s="156">
        <v>80</v>
      </c>
      <c r="CD13" s="156">
        <v>81</v>
      </c>
      <c r="CE13" s="156">
        <v>82</v>
      </c>
      <c r="CF13" s="156">
        <v>83</v>
      </c>
      <c r="CG13" s="156">
        <v>84</v>
      </c>
      <c r="CH13" s="156">
        <v>85</v>
      </c>
      <c r="CI13" s="156">
        <v>86</v>
      </c>
      <c r="CJ13" s="156">
        <v>87</v>
      </c>
      <c r="CK13" s="156">
        <v>88</v>
      </c>
      <c r="CL13" s="156">
        <v>89</v>
      </c>
      <c r="CM13" s="156">
        <v>90</v>
      </c>
      <c r="CN13" s="156">
        <v>91</v>
      </c>
      <c r="CO13" s="156">
        <v>92</v>
      </c>
      <c r="CP13" s="156">
        <v>93</v>
      </c>
      <c r="CQ13" s="156">
        <v>94</v>
      </c>
      <c r="CR13" s="156">
        <v>95</v>
      </c>
      <c r="CS13" s="156">
        <v>96</v>
      </c>
      <c r="CT13" s="156">
        <v>97</v>
      </c>
      <c r="CU13" s="156">
        <v>98</v>
      </c>
      <c r="CV13" s="156">
        <v>99</v>
      </c>
      <c r="CW13" s="156">
        <v>100</v>
      </c>
      <c r="CX13" s="156">
        <v>101</v>
      </c>
      <c r="CY13" s="156">
        <v>102</v>
      </c>
      <c r="CZ13" s="156">
        <v>103</v>
      </c>
      <c r="DA13" s="156">
        <v>104</v>
      </c>
      <c r="DB13" s="156">
        <v>105</v>
      </c>
      <c r="DC13" s="156">
        <v>106</v>
      </c>
      <c r="DD13" s="156">
        <v>107</v>
      </c>
      <c r="DE13" s="156">
        <v>108</v>
      </c>
      <c r="DF13" s="156">
        <v>109</v>
      </c>
      <c r="DG13" s="156">
        <v>110</v>
      </c>
      <c r="DH13" s="156">
        <v>111</v>
      </c>
      <c r="DI13" s="156">
        <v>112</v>
      </c>
      <c r="DJ13" s="156">
        <v>113</v>
      </c>
      <c r="DK13" s="112"/>
    </row>
    <row r="14" spans="2:115" x14ac:dyDescent="0.3">
      <c r="D14" s="193" t="s">
        <v>43</v>
      </c>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5"/>
      <c r="AR14" s="193" t="s">
        <v>44</v>
      </c>
      <c r="AS14" s="194"/>
      <c r="AT14" s="194"/>
      <c r="AU14" s="194"/>
      <c r="AV14" s="194"/>
      <c r="AW14" s="194"/>
      <c r="AX14" s="194"/>
      <c r="AY14" s="194"/>
      <c r="AZ14" s="194"/>
      <c r="BA14" s="194"/>
      <c r="BB14" s="194"/>
      <c r="BC14" s="194"/>
      <c r="BD14" s="195"/>
      <c r="BE14" s="193" t="s">
        <v>41</v>
      </c>
      <c r="BF14" s="194"/>
      <c r="BG14" s="194"/>
      <c r="BH14" s="194"/>
      <c r="BI14" s="194"/>
      <c r="BJ14" s="194"/>
      <c r="BK14" s="194"/>
      <c r="BL14" s="194"/>
      <c r="BM14" s="194"/>
      <c r="BN14" s="194"/>
      <c r="BO14" s="194"/>
      <c r="BP14" s="194"/>
      <c r="BQ14" s="194"/>
      <c r="BR14" s="194"/>
      <c r="BS14" s="194"/>
      <c r="BT14" s="194"/>
      <c r="BU14" s="194"/>
      <c r="BV14" s="194"/>
      <c r="BW14" s="194"/>
      <c r="BX14" s="194"/>
      <c r="BY14" s="194"/>
      <c r="BZ14" s="194"/>
      <c r="CA14" s="194"/>
      <c r="CB14" s="194"/>
      <c r="CC14" s="194"/>
      <c r="CD14" s="194"/>
      <c r="CE14" s="194"/>
      <c r="CF14" s="194"/>
      <c r="CG14" s="194"/>
      <c r="CH14" s="194"/>
      <c r="CI14" s="194"/>
      <c r="CJ14" s="194"/>
      <c r="CK14" s="194"/>
      <c r="CL14" s="194"/>
      <c r="CM14" s="194"/>
      <c r="CN14" s="194"/>
      <c r="CO14" s="194"/>
      <c r="CP14" s="194"/>
      <c r="CQ14" s="194"/>
      <c r="CR14" s="194"/>
      <c r="CS14" s="194"/>
      <c r="CT14" s="194"/>
      <c r="CU14" s="194"/>
      <c r="CV14" s="194"/>
      <c r="CW14" s="194"/>
      <c r="CX14" s="194"/>
      <c r="CY14" s="194"/>
      <c r="CZ14" s="194"/>
      <c r="DA14" s="194"/>
      <c r="DB14" s="194"/>
      <c r="DC14" s="194"/>
      <c r="DD14" s="194"/>
      <c r="DE14" s="194"/>
      <c r="DF14" s="194"/>
      <c r="DG14" s="194"/>
      <c r="DH14" s="194"/>
      <c r="DI14" s="194"/>
      <c r="DJ14" s="194"/>
      <c r="DK14" s="1"/>
    </row>
    <row r="15" spans="2:115" s="1" customFormat="1" x14ac:dyDescent="0.3">
      <c r="D15" s="15" t="s">
        <v>7</v>
      </c>
      <c r="E15" s="15" t="s">
        <v>8</v>
      </c>
      <c r="F15" s="15" t="s">
        <v>9</v>
      </c>
      <c r="G15" s="15" t="s">
        <v>10</v>
      </c>
      <c r="H15" s="15" t="s">
        <v>606</v>
      </c>
      <c r="I15" s="15" t="s">
        <v>574</v>
      </c>
      <c r="J15" s="15" t="s">
        <v>575</v>
      </c>
      <c r="K15" s="15" t="s">
        <v>576</v>
      </c>
      <c r="L15" s="15" t="s">
        <v>8</v>
      </c>
      <c r="M15" s="15" t="s">
        <v>9</v>
      </c>
      <c r="N15" s="15" t="s">
        <v>555</v>
      </c>
      <c r="O15" s="15" t="s">
        <v>545</v>
      </c>
      <c r="P15" s="15" t="s">
        <v>553</v>
      </c>
      <c r="Q15" s="15" t="s">
        <v>463</v>
      </c>
      <c r="R15" s="15" t="s">
        <v>467</v>
      </c>
      <c r="S15" s="15" t="s">
        <v>465</v>
      </c>
      <c r="T15" s="15" t="s">
        <v>11</v>
      </c>
      <c r="U15" s="15" t="s">
        <v>468</v>
      </c>
      <c r="V15" s="15" t="s">
        <v>12</v>
      </c>
      <c r="W15" s="15" t="s">
        <v>13</v>
      </c>
      <c r="X15" s="15" t="s">
        <v>14</v>
      </c>
      <c r="Y15" s="15" t="s">
        <v>447</v>
      </c>
      <c r="Z15" s="15" t="s">
        <v>462</v>
      </c>
      <c r="AA15" s="15" t="s">
        <v>472</v>
      </c>
      <c r="AB15" s="15" t="s">
        <v>466</v>
      </c>
      <c r="AC15" s="15" t="s">
        <v>19</v>
      </c>
      <c r="AD15" s="15" t="s">
        <v>20</v>
      </c>
      <c r="AE15" s="15" t="s">
        <v>21</v>
      </c>
      <c r="AF15" s="15" t="s">
        <v>22</v>
      </c>
      <c r="AG15" s="15" t="s">
        <v>18</v>
      </c>
      <c r="AH15" s="15" t="s">
        <v>521</v>
      </c>
      <c r="AI15" s="15" t="s">
        <v>512</v>
      </c>
      <c r="AJ15" s="15" t="s">
        <v>513</v>
      </c>
      <c r="AK15" s="15" t="s">
        <v>518</v>
      </c>
      <c r="AL15" s="15" t="s">
        <v>514</v>
      </c>
      <c r="AM15" s="15" t="s">
        <v>515</v>
      </c>
      <c r="AN15" s="15" t="s">
        <v>517</v>
      </c>
      <c r="AO15" s="15" t="s">
        <v>516</v>
      </c>
      <c r="AP15" s="15" t="s">
        <v>499</v>
      </c>
      <c r="AQ15" s="15" t="s">
        <v>498</v>
      </c>
      <c r="AR15" s="15" t="s">
        <v>15</v>
      </c>
      <c r="AS15" s="15" t="s">
        <v>577</v>
      </c>
      <c r="AT15" s="15" t="s">
        <v>578</v>
      </c>
      <c r="AU15" s="15" t="s">
        <v>579</v>
      </c>
      <c r="AV15" s="15" t="s">
        <v>580</v>
      </c>
      <c r="AW15" s="15" t="s">
        <v>581</v>
      </c>
      <c r="AX15" s="15" t="s">
        <v>582</v>
      </c>
      <c r="AY15" s="15" t="s">
        <v>583</v>
      </c>
      <c r="AZ15" s="15" t="s">
        <v>584</v>
      </c>
      <c r="BA15" s="15" t="s">
        <v>587</v>
      </c>
      <c r="BB15" s="15" t="s">
        <v>588</v>
      </c>
      <c r="BC15" s="15" t="s">
        <v>589</v>
      </c>
      <c r="BD15" s="15" t="s">
        <v>590</v>
      </c>
      <c r="BE15" s="15" t="s">
        <v>16</v>
      </c>
      <c r="BF15" s="15" t="s">
        <v>17</v>
      </c>
      <c r="BG15" s="15" t="s">
        <v>18</v>
      </c>
      <c r="BH15" s="15" t="s">
        <v>462</v>
      </c>
      <c r="BI15" s="15" t="s">
        <v>472</v>
      </c>
      <c r="BJ15" s="15" t="s">
        <v>466</v>
      </c>
      <c r="BK15" s="15" t="s">
        <v>463</v>
      </c>
      <c r="BL15" s="15" t="s">
        <v>464</v>
      </c>
      <c r="BM15" s="15" t="s">
        <v>465</v>
      </c>
      <c r="BN15" s="15" t="s">
        <v>19</v>
      </c>
      <c r="BO15" s="15" t="s">
        <v>20</v>
      </c>
      <c r="BP15" s="15" t="s">
        <v>21</v>
      </c>
      <c r="BQ15" s="15" t="s">
        <v>22</v>
      </c>
      <c r="BR15" s="15" t="s">
        <v>522</v>
      </c>
      <c r="BS15" s="15" t="s">
        <v>491</v>
      </c>
      <c r="BT15" s="27" t="s">
        <v>29</v>
      </c>
      <c r="BU15" s="27" t="s">
        <v>31</v>
      </c>
      <c r="BV15" s="27" t="s">
        <v>592</v>
      </c>
      <c r="BW15" s="27" t="s">
        <v>594</v>
      </c>
      <c r="BX15" s="27" t="s">
        <v>629</v>
      </c>
      <c r="BY15" s="27" t="s">
        <v>630</v>
      </c>
      <c r="BZ15" s="27" t="s">
        <v>631</v>
      </c>
      <c r="CA15" s="27" t="s">
        <v>632</v>
      </c>
      <c r="CB15" s="27" t="s">
        <v>633</v>
      </c>
      <c r="CC15" s="27" t="s">
        <v>634</v>
      </c>
      <c r="CD15" s="27" t="s">
        <v>635</v>
      </c>
      <c r="CE15" s="27" t="s">
        <v>636</v>
      </c>
      <c r="CF15" s="27" t="s">
        <v>637</v>
      </c>
      <c r="CG15" s="27" t="s">
        <v>638</v>
      </c>
      <c r="CH15" s="27" t="s">
        <v>639</v>
      </c>
      <c r="CI15" s="27" t="s">
        <v>640</v>
      </c>
      <c r="CJ15" s="27" t="s">
        <v>641</v>
      </c>
      <c r="CK15" s="27" t="s">
        <v>642</v>
      </c>
      <c r="CL15" s="27" t="s">
        <v>643</v>
      </c>
      <c r="CM15" s="27" t="s">
        <v>644</v>
      </c>
      <c r="CN15" s="27" t="s">
        <v>645</v>
      </c>
      <c r="CO15" s="27" t="s">
        <v>646</v>
      </c>
      <c r="CP15" s="27" t="s">
        <v>647</v>
      </c>
      <c r="CQ15" s="27" t="s">
        <v>648</v>
      </c>
      <c r="CR15" s="27" t="s">
        <v>649</v>
      </c>
      <c r="CS15" s="27" t="s">
        <v>651</v>
      </c>
      <c r="CT15" s="27" t="s">
        <v>650</v>
      </c>
      <c r="CU15" s="27" t="s">
        <v>652</v>
      </c>
      <c r="CV15" s="27" t="s">
        <v>653</v>
      </c>
      <c r="CW15" s="27" t="s">
        <v>654</v>
      </c>
      <c r="CX15" s="27" t="s">
        <v>655</v>
      </c>
      <c r="CY15" s="27" t="s">
        <v>656</v>
      </c>
      <c r="CZ15" s="27" t="s">
        <v>657</v>
      </c>
      <c r="DA15" s="27" t="s">
        <v>658</v>
      </c>
      <c r="DB15" s="27" t="s">
        <v>659</v>
      </c>
      <c r="DC15" s="27" t="s">
        <v>660</v>
      </c>
      <c r="DD15" s="27" t="s">
        <v>661</v>
      </c>
      <c r="DE15" s="27" t="s">
        <v>662</v>
      </c>
      <c r="DF15" s="27" t="s">
        <v>663</v>
      </c>
      <c r="DG15" s="27" t="s">
        <v>664</v>
      </c>
      <c r="DH15" s="27" t="s">
        <v>665</v>
      </c>
      <c r="DI15" s="27" t="s">
        <v>666</v>
      </c>
      <c r="DJ15" s="27" t="s">
        <v>667</v>
      </c>
    </row>
    <row r="16" spans="2:115" ht="17.5" x14ac:dyDescent="0.45">
      <c r="B16" s="199" t="s">
        <v>42</v>
      </c>
      <c r="C16" s="199"/>
      <c r="D16" s="196" t="s">
        <v>554</v>
      </c>
      <c r="E16" s="197"/>
      <c r="F16" s="197"/>
      <c r="G16" s="197"/>
      <c r="H16" s="197"/>
      <c r="I16" s="197"/>
      <c r="J16" s="197"/>
      <c r="K16" s="198"/>
      <c r="L16" s="196" t="s">
        <v>548</v>
      </c>
      <c r="M16" s="198"/>
      <c r="N16" s="196" t="s">
        <v>549</v>
      </c>
      <c r="O16" s="197"/>
      <c r="P16" s="198"/>
      <c r="Q16" s="196" t="s">
        <v>550</v>
      </c>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8"/>
      <c r="AP16" s="196" t="s">
        <v>548</v>
      </c>
      <c r="AQ16" s="198"/>
      <c r="AR16" s="42" t="s">
        <v>551</v>
      </c>
      <c r="AS16" s="196" t="s">
        <v>551</v>
      </c>
      <c r="AT16" s="197"/>
      <c r="AU16" s="197"/>
      <c r="AV16" s="197"/>
      <c r="AW16" s="197"/>
      <c r="AX16" s="197"/>
      <c r="AY16" s="197"/>
      <c r="AZ16" s="197"/>
      <c r="BA16" s="197"/>
      <c r="BB16" s="197"/>
      <c r="BC16" s="197"/>
      <c r="BD16" s="198"/>
      <c r="BE16" s="199" t="s">
        <v>550</v>
      </c>
      <c r="BF16" s="199"/>
      <c r="BG16" s="199"/>
      <c r="BH16" s="199"/>
      <c r="BI16" s="199"/>
      <c r="BJ16" s="199"/>
      <c r="BK16" s="199"/>
      <c r="BL16" s="199"/>
      <c r="BM16" s="199"/>
      <c r="BN16" s="199"/>
      <c r="BO16" s="199"/>
      <c r="BP16" s="199"/>
      <c r="BQ16" s="199"/>
      <c r="BR16" s="42" t="s">
        <v>551</v>
      </c>
      <c r="BS16" s="42" t="s">
        <v>550</v>
      </c>
      <c r="BT16" s="199" t="s">
        <v>552</v>
      </c>
      <c r="BU16" s="199"/>
      <c r="BV16" s="203" t="s">
        <v>607</v>
      </c>
      <c r="BW16" s="204"/>
      <c r="BX16" s="204"/>
      <c r="BY16" s="204"/>
      <c r="BZ16" s="204"/>
      <c r="CA16" s="204"/>
      <c r="CB16" s="204"/>
      <c r="CC16" s="204"/>
      <c r="CD16" s="204"/>
      <c r="CE16" s="204"/>
      <c r="CF16" s="204"/>
      <c r="CG16" s="204"/>
      <c r="CH16" s="122"/>
      <c r="CI16" s="203" t="s">
        <v>607</v>
      </c>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1"/>
    </row>
    <row r="17" spans="2:115" x14ac:dyDescent="0.3">
      <c r="B17" s="192" t="s">
        <v>1</v>
      </c>
      <c r="C17" s="192"/>
      <c r="D17" s="2">
        <v>0.184973</v>
      </c>
      <c r="E17" s="2">
        <v>0.24667500000000001</v>
      </c>
      <c r="F17" s="2">
        <v>0.272123</v>
      </c>
      <c r="G17" s="7">
        <v>1.18E-2</v>
      </c>
      <c r="H17" s="4"/>
      <c r="I17" s="4"/>
      <c r="J17" s="4"/>
      <c r="K17" s="4"/>
      <c r="L17" s="7">
        <v>2.5379710000000002</v>
      </c>
      <c r="M17" s="7">
        <v>2.92577</v>
      </c>
      <c r="N17" s="50">
        <v>650</v>
      </c>
      <c r="O17" s="50">
        <v>1725</v>
      </c>
      <c r="P17" s="102">
        <v>0</v>
      </c>
      <c r="Q17" s="2">
        <v>0.23658999999999999</v>
      </c>
      <c r="R17" s="2">
        <v>0.28517599999999999</v>
      </c>
      <c r="S17" s="2">
        <v>0.37090000000000001</v>
      </c>
      <c r="T17" s="2">
        <v>0.31301699999999999</v>
      </c>
      <c r="U17" s="2">
        <v>0.246977</v>
      </c>
      <c r="V17" s="2">
        <v>0.36528500000000003</v>
      </c>
      <c r="W17" s="2">
        <v>0.43261899999999998</v>
      </c>
      <c r="X17" s="2">
        <v>0.38800000000000001</v>
      </c>
      <c r="Y17" s="2">
        <v>0.313</v>
      </c>
      <c r="Z17" s="2">
        <v>0.25850000000000001</v>
      </c>
      <c r="AA17" s="2">
        <v>0.32329999999999998</v>
      </c>
      <c r="AB17" s="2">
        <v>0.46689999999999998</v>
      </c>
      <c r="AC17" s="2">
        <v>0.18060000000000001</v>
      </c>
      <c r="AD17" s="2">
        <v>0.19259999999999999</v>
      </c>
      <c r="AE17" s="2">
        <v>0.31929999999999997</v>
      </c>
      <c r="AF17" s="4">
        <v>0</v>
      </c>
      <c r="AG17" s="2">
        <v>0.3049</v>
      </c>
      <c r="AH17" s="2">
        <v>0.95033548600000006</v>
      </c>
      <c r="AI17" s="2">
        <v>1.169635008</v>
      </c>
      <c r="AJ17" s="2">
        <v>1.5661607370000001</v>
      </c>
      <c r="AK17" s="2">
        <v>1.336721126</v>
      </c>
      <c r="AL17" s="2">
        <v>1.431177237</v>
      </c>
      <c r="AM17" s="2">
        <v>1.6006578959999997</v>
      </c>
      <c r="AN17" s="2">
        <v>1.6006535420000001</v>
      </c>
      <c r="AO17" s="2">
        <v>1.45898299</v>
      </c>
      <c r="AP17" s="2">
        <v>2.6023999999999998</v>
      </c>
      <c r="AQ17" s="2">
        <v>2.1913999999999998</v>
      </c>
      <c r="AR17" s="2">
        <v>0.49430000000000002</v>
      </c>
      <c r="AS17" s="119"/>
      <c r="AT17" s="119"/>
      <c r="AU17" s="119"/>
      <c r="AV17" s="119"/>
      <c r="AW17" s="119"/>
      <c r="AX17" s="119"/>
      <c r="AY17" s="119"/>
      <c r="AZ17" s="119"/>
      <c r="BA17" s="119"/>
      <c r="BB17" s="119"/>
      <c r="BC17" s="119"/>
      <c r="BD17" s="119"/>
      <c r="BE17" s="2">
        <v>0.14119999999999999</v>
      </c>
      <c r="BF17" s="2">
        <v>0.17100000000000001</v>
      </c>
      <c r="BG17" s="2">
        <v>0.3049</v>
      </c>
      <c r="BH17" s="2">
        <v>0.25850000000000001</v>
      </c>
      <c r="BI17" s="2">
        <v>0.32329999999999998</v>
      </c>
      <c r="BJ17" s="2">
        <v>0.46689999999999998</v>
      </c>
      <c r="BK17" s="2">
        <v>0.2366</v>
      </c>
      <c r="BL17" s="2">
        <v>0.28520000000000001</v>
      </c>
      <c r="BM17" s="2">
        <v>0.37090000000000001</v>
      </c>
      <c r="BN17" s="2">
        <v>0.18060000000000001</v>
      </c>
      <c r="BO17" s="2">
        <v>0.19259999999999999</v>
      </c>
      <c r="BP17" s="2">
        <v>0.31929999999999997</v>
      </c>
      <c r="BQ17" s="4">
        <v>0</v>
      </c>
      <c r="BR17" s="2">
        <v>4.3220000000000001E-2</v>
      </c>
      <c r="BS17" s="4">
        <v>0</v>
      </c>
      <c r="BT17" s="2">
        <v>0.34399999999999997</v>
      </c>
      <c r="BU17" s="2">
        <v>0.70799999999999996</v>
      </c>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
    </row>
    <row r="18" spans="2:115" x14ac:dyDescent="0.3">
      <c r="B18" s="192" t="s">
        <v>2</v>
      </c>
      <c r="C18" s="192"/>
      <c r="D18" s="2">
        <v>0.1845</v>
      </c>
      <c r="E18" s="2">
        <v>0.24660000000000001</v>
      </c>
      <c r="F18" s="2">
        <v>0.27100000000000002</v>
      </c>
      <c r="G18" s="2">
        <v>1.32E-2</v>
      </c>
      <c r="H18" s="4"/>
      <c r="I18" s="4"/>
      <c r="J18" s="4"/>
      <c r="K18" s="4"/>
      <c r="L18" s="2">
        <v>2.5321500000000001</v>
      </c>
      <c r="M18" s="2">
        <v>2.9088400000000001</v>
      </c>
      <c r="N18" s="50">
        <v>675</v>
      </c>
      <c r="O18" s="51">
        <v>2087.5</v>
      </c>
      <c r="P18" s="102">
        <v>0</v>
      </c>
      <c r="Q18" s="2">
        <v>0.23119999999999999</v>
      </c>
      <c r="R18" s="2">
        <v>0.28260000000000002</v>
      </c>
      <c r="S18" s="2">
        <v>0.3624</v>
      </c>
      <c r="T18" s="2">
        <v>0.3135</v>
      </c>
      <c r="U18" s="2">
        <v>0.23250000000000001</v>
      </c>
      <c r="V18" s="2">
        <v>0.36749999999999999</v>
      </c>
      <c r="W18" s="2">
        <v>0.43090000000000001</v>
      </c>
      <c r="X18" s="2">
        <v>0.38969999999999999</v>
      </c>
      <c r="Y18" s="2">
        <v>0.3135</v>
      </c>
      <c r="Z18" s="2">
        <v>0.25519999999999998</v>
      </c>
      <c r="AA18" s="2">
        <v>0.32079999999999997</v>
      </c>
      <c r="AB18" s="2">
        <v>0.46789999999999998</v>
      </c>
      <c r="AC18" s="2">
        <v>0.17380000000000001</v>
      </c>
      <c r="AD18" s="2">
        <v>0.18940000000000001</v>
      </c>
      <c r="AE18" s="2">
        <v>0.2802</v>
      </c>
      <c r="AF18" s="4">
        <v>0</v>
      </c>
      <c r="AG18" s="2">
        <v>0.2999</v>
      </c>
      <c r="AH18" s="2">
        <v>0.90976120399999993</v>
      </c>
      <c r="AI18" s="2">
        <v>1.11331655</v>
      </c>
      <c r="AJ18" s="2">
        <v>1.6073225990000002</v>
      </c>
      <c r="AK18" s="2">
        <v>1.3396501319999998</v>
      </c>
      <c r="AL18" s="2">
        <v>1.3545301679999999</v>
      </c>
      <c r="AM18" s="2">
        <v>1.5832141240000002</v>
      </c>
      <c r="AN18" s="2">
        <v>1.6040331650000001</v>
      </c>
      <c r="AO18" s="2">
        <v>1.4702323050000001</v>
      </c>
      <c r="AP18" s="2">
        <v>2.5838999999999999</v>
      </c>
      <c r="AQ18" s="2">
        <v>2.1943999999999999</v>
      </c>
      <c r="AR18" s="2">
        <v>0.4622</v>
      </c>
      <c r="AS18" s="119"/>
      <c r="AT18" s="119"/>
      <c r="AU18" s="119"/>
      <c r="AV18" s="119"/>
      <c r="AW18" s="119"/>
      <c r="AX18" s="119"/>
      <c r="AY18" s="119"/>
      <c r="AZ18" s="119"/>
      <c r="BA18" s="119"/>
      <c r="BB18" s="119"/>
      <c r="BC18" s="119"/>
      <c r="BD18" s="119"/>
      <c r="BE18" s="2">
        <v>0.14180000000000001</v>
      </c>
      <c r="BF18" s="2">
        <v>0.17130000000000001</v>
      </c>
      <c r="BG18" s="2">
        <v>0.2999</v>
      </c>
      <c r="BH18" s="2">
        <v>0.25519999999999998</v>
      </c>
      <c r="BI18" s="2">
        <v>0.32079999999999997</v>
      </c>
      <c r="BJ18" s="2">
        <v>0.46789999999999998</v>
      </c>
      <c r="BK18" s="2">
        <v>0.23119999999999999</v>
      </c>
      <c r="BL18" s="2">
        <v>0.28260000000000002</v>
      </c>
      <c r="BM18" s="2">
        <v>0.3624</v>
      </c>
      <c r="BN18" s="2">
        <v>0.17380000000000001</v>
      </c>
      <c r="BO18" s="2">
        <v>0.18940000000000001</v>
      </c>
      <c r="BP18" s="2">
        <v>0.2802</v>
      </c>
      <c r="BQ18" s="4">
        <v>0</v>
      </c>
      <c r="BR18" s="2">
        <v>3.8159999999999999E-2</v>
      </c>
      <c r="BS18" s="4">
        <v>0</v>
      </c>
      <c r="BT18" s="2">
        <v>0.34399999999999997</v>
      </c>
      <c r="BU18" s="2">
        <v>0.70799999999999996</v>
      </c>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
    </row>
    <row r="19" spans="2:115" x14ac:dyDescent="0.3">
      <c r="B19" s="192" t="s">
        <v>3</v>
      </c>
      <c r="C19" s="192"/>
      <c r="D19" s="2">
        <v>0.184</v>
      </c>
      <c r="E19" s="2">
        <v>0.2467</v>
      </c>
      <c r="F19" s="2">
        <v>0.27629999999999999</v>
      </c>
      <c r="G19" s="2">
        <v>1.3100000000000001E-2</v>
      </c>
      <c r="H19" s="4"/>
      <c r="I19" s="4"/>
      <c r="J19" s="4"/>
      <c r="K19" s="4"/>
      <c r="L19" s="2">
        <v>2.5323199999999999</v>
      </c>
      <c r="M19" s="2">
        <v>2.9657200000000001</v>
      </c>
      <c r="N19" s="50">
        <v>675</v>
      </c>
      <c r="O19" s="51">
        <v>2088</v>
      </c>
      <c r="P19" s="50">
        <v>1810</v>
      </c>
      <c r="Q19" s="2">
        <v>0.23619999999999999</v>
      </c>
      <c r="R19" s="2">
        <v>0.28549999999999998</v>
      </c>
      <c r="S19" s="2">
        <v>0.36170000000000002</v>
      </c>
      <c r="T19" s="2">
        <v>0.36170000000000002</v>
      </c>
      <c r="U19" s="2">
        <v>0.24840000000000001</v>
      </c>
      <c r="V19" s="2">
        <v>0.39090000000000003</v>
      </c>
      <c r="W19" s="2">
        <v>0.45789999999999997</v>
      </c>
      <c r="X19" s="2">
        <v>0.36980000000000002</v>
      </c>
      <c r="Y19" s="2">
        <v>0.36170000000000002</v>
      </c>
      <c r="Z19" s="2">
        <v>0.25790000000000002</v>
      </c>
      <c r="AA19" s="2">
        <v>0.32240000000000002</v>
      </c>
      <c r="AB19" s="2">
        <v>0.47410000000000002</v>
      </c>
      <c r="AC19" s="2">
        <v>0.1777</v>
      </c>
      <c r="AD19" s="2">
        <v>0.19389999999999999</v>
      </c>
      <c r="AE19" s="2">
        <v>0.28749999999999998</v>
      </c>
      <c r="AF19" s="4">
        <v>0</v>
      </c>
      <c r="AG19" s="2">
        <v>0.3009</v>
      </c>
      <c r="AH19" s="2">
        <v>0.89794035085266777</v>
      </c>
      <c r="AI19" s="2">
        <v>1.1575331792032582</v>
      </c>
      <c r="AJ19" s="2">
        <v>1.5729976367024565</v>
      </c>
      <c r="AK19" s="2">
        <v>1.3377511065600001</v>
      </c>
      <c r="AL19" s="2">
        <v>1.3565694653182918</v>
      </c>
      <c r="AM19" s="2">
        <v>1.5652624407560547</v>
      </c>
      <c r="AN19" s="2">
        <v>1.60984289664</v>
      </c>
      <c r="AO19" s="2">
        <v>1.4722922649600001</v>
      </c>
      <c r="AP19" s="2">
        <v>2.6116299999999999</v>
      </c>
      <c r="AQ19" s="2">
        <v>2.1969699999999999</v>
      </c>
      <c r="AR19" s="2">
        <v>0.41210000000000002</v>
      </c>
      <c r="AS19" s="119"/>
      <c r="AT19" s="119"/>
      <c r="AU19" s="119"/>
      <c r="AV19" s="119"/>
      <c r="AW19" s="119"/>
      <c r="AX19" s="119"/>
      <c r="AY19" s="119"/>
      <c r="AZ19" s="119"/>
      <c r="BA19" s="119"/>
      <c r="BB19" s="119"/>
      <c r="BC19" s="119"/>
      <c r="BD19" s="119"/>
      <c r="BE19" s="2">
        <v>0.1406</v>
      </c>
      <c r="BF19" s="2">
        <v>0.17130000000000001</v>
      </c>
      <c r="BG19" s="2">
        <v>0.3009</v>
      </c>
      <c r="BH19" s="2">
        <v>0.25790000000000002</v>
      </c>
      <c r="BI19" s="2">
        <v>0.32240000000000002</v>
      </c>
      <c r="BJ19" s="2">
        <v>0.47410000000000002</v>
      </c>
      <c r="BK19" s="2">
        <v>0.23619999999999999</v>
      </c>
      <c r="BL19" s="2">
        <v>0.28549999999999998</v>
      </c>
      <c r="BM19" s="2">
        <v>0.36170000000000002</v>
      </c>
      <c r="BN19" s="2">
        <v>0.1777</v>
      </c>
      <c r="BO19" s="2">
        <v>0.19389999999999999</v>
      </c>
      <c r="BP19" s="2">
        <v>0.28749999999999998</v>
      </c>
      <c r="BQ19" s="4">
        <v>0</v>
      </c>
      <c r="BR19" s="2">
        <v>3.7269999999999998E-2</v>
      </c>
      <c r="BS19" s="4">
        <v>0</v>
      </c>
      <c r="BT19" s="2">
        <v>0.34399999999999997</v>
      </c>
      <c r="BU19" s="2">
        <v>0.70799999999999996</v>
      </c>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row>
    <row r="20" spans="2:115" x14ac:dyDescent="0.3">
      <c r="B20" s="192" t="s">
        <v>4</v>
      </c>
      <c r="C20" s="192"/>
      <c r="D20" s="2">
        <v>0.1842</v>
      </c>
      <c r="E20" s="2">
        <v>0.24660000000000001</v>
      </c>
      <c r="F20" s="2">
        <v>0.27589999999999998</v>
      </c>
      <c r="G20" s="2">
        <v>1.2699999999999999E-2</v>
      </c>
      <c r="H20" s="4"/>
      <c r="I20" s="4"/>
      <c r="J20" s="4"/>
      <c r="K20" s="4"/>
      <c r="L20" s="2">
        <v>2.53233</v>
      </c>
      <c r="M20" s="2">
        <v>2.9535100000000001</v>
      </c>
      <c r="N20" s="50">
        <v>675</v>
      </c>
      <c r="O20" s="51">
        <v>2088</v>
      </c>
      <c r="P20" s="50">
        <v>1810</v>
      </c>
      <c r="Q20" s="2">
        <v>0.2341</v>
      </c>
      <c r="R20" s="2">
        <v>0.2797</v>
      </c>
      <c r="S20" s="2">
        <v>0.35139999999999999</v>
      </c>
      <c r="T20" s="2">
        <v>0.29849999999999999</v>
      </c>
      <c r="U20" s="2">
        <v>0.2407</v>
      </c>
      <c r="V20" s="2">
        <v>0.37869999999999998</v>
      </c>
      <c r="W20" s="2">
        <v>0.44359999999999999</v>
      </c>
      <c r="X20" s="2">
        <v>0.35349999999999998</v>
      </c>
      <c r="Y20" s="2">
        <v>0.29849999999999999</v>
      </c>
      <c r="Z20" s="2">
        <v>0.25180000000000002</v>
      </c>
      <c r="AA20" s="2">
        <v>0.31369999999999998</v>
      </c>
      <c r="AB20" s="2">
        <v>0.45929999999999999</v>
      </c>
      <c r="AC20" s="2">
        <v>0.17660000000000001</v>
      </c>
      <c r="AD20" s="2">
        <v>0.18099999999999999</v>
      </c>
      <c r="AE20" s="2">
        <v>0.21010000000000001</v>
      </c>
      <c r="AF20" s="4">
        <v>0</v>
      </c>
      <c r="AG20" s="2">
        <v>0.28789999999999999</v>
      </c>
      <c r="AH20" s="2">
        <v>0.8628015052800001</v>
      </c>
      <c r="AI20" s="2">
        <v>1.06310045952</v>
      </c>
      <c r="AJ20" s="2">
        <v>1.5506512243200001</v>
      </c>
      <c r="AK20" s="2">
        <v>1.3037134809599999</v>
      </c>
      <c r="AL20" s="2">
        <v>1.3527340992000001</v>
      </c>
      <c r="AM20" s="2">
        <v>1.5068448806400001</v>
      </c>
      <c r="AN20" s="2">
        <v>1.49179751424</v>
      </c>
      <c r="AO20" s="2">
        <v>1.40059598976</v>
      </c>
      <c r="AP20" s="2">
        <v>2.6719300000000001</v>
      </c>
      <c r="AQ20" s="2">
        <v>2.19835</v>
      </c>
      <c r="AR20" s="2">
        <v>0.35160000000000002</v>
      </c>
      <c r="AS20" s="119"/>
      <c r="AT20" s="119"/>
      <c r="AU20" s="119"/>
      <c r="AV20" s="119"/>
      <c r="AW20" s="119"/>
      <c r="AX20" s="119"/>
      <c r="AY20" s="119"/>
      <c r="AZ20" s="119"/>
      <c r="BA20" s="119"/>
      <c r="BB20" s="119"/>
      <c r="BC20" s="119"/>
      <c r="BD20" s="119"/>
      <c r="BE20" s="2">
        <v>0.13639999999999999</v>
      </c>
      <c r="BF20" s="2">
        <v>0.16619999999999999</v>
      </c>
      <c r="BG20" s="2">
        <v>0.28789999999999999</v>
      </c>
      <c r="BH20" s="2">
        <v>0.25180000000000002</v>
      </c>
      <c r="BI20" s="2">
        <v>0.31369999999999998</v>
      </c>
      <c r="BJ20" s="2">
        <v>0.45929999999999999</v>
      </c>
      <c r="BK20" s="2">
        <v>0.2341</v>
      </c>
      <c r="BL20" s="2">
        <v>0.2797</v>
      </c>
      <c r="BM20" s="2">
        <v>0.35139999999999999</v>
      </c>
      <c r="BN20" s="2">
        <v>0.17660000000000001</v>
      </c>
      <c r="BO20" s="2">
        <v>0.18099999999999999</v>
      </c>
      <c r="BP20" s="2">
        <v>0.21010000000000001</v>
      </c>
      <c r="BQ20" s="4">
        <v>0</v>
      </c>
      <c r="BR20" s="2">
        <v>3.2870000000000003E-2</v>
      </c>
      <c r="BS20" s="4">
        <v>0</v>
      </c>
      <c r="BT20" s="2">
        <v>0.34399999999999997</v>
      </c>
      <c r="BU20" s="2">
        <v>0.70799999999999996</v>
      </c>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row>
    <row r="21" spans="2:115" x14ac:dyDescent="0.3">
      <c r="B21" s="192" t="s">
        <v>5</v>
      </c>
      <c r="C21" s="192"/>
      <c r="D21" s="2">
        <v>0.184</v>
      </c>
      <c r="E21" s="2">
        <v>0.2467</v>
      </c>
      <c r="F21" s="2">
        <v>0.27650000000000002</v>
      </c>
      <c r="G21" s="2">
        <v>1.5100000000000001E-2</v>
      </c>
      <c r="H21" s="4"/>
      <c r="I21" s="4"/>
      <c r="J21" s="4"/>
      <c r="K21" s="4"/>
      <c r="L21" s="2">
        <v>2.53627</v>
      </c>
      <c r="M21" s="2">
        <v>2.9704899999999999</v>
      </c>
      <c r="N21" s="50">
        <v>675</v>
      </c>
      <c r="O21" s="51">
        <v>2088</v>
      </c>
      <c r="P21" s="50">
        <v>1810</v>
      </c>
      <c r="Q21" s="2">
        <v>0.2339</v>
      </c>
      <c r="R21" s="2">
        <v>0.27929999999999999</v>
      </c>
      <c r="S21" s="2">
        <v>0.3463</v>
      </c>
      <c r="T21" s="2">
        <v>0.29699999999999999</v>
      </c>
      <c r="U21" s="2">
        <v>0.24010000000000001</v>
      </c>
      <c r="V21" s="2">
        <v>0.37769999999999998</v>
      </c>
      <c r="W21" s="2">
        <v>0.44240000000000002</v>
      </c>
      <c r="X21" s="2">
        <v>0.34110000000000001</v>
      </c>
      <c r="Y21" s="2">
        <v>0.29699999999999999</v>
      </c>
      <c r="Z21" s="2">
        <v>0.2505</v>
      </c>
      <c r="AA21" s="2">
        <v>0.312</v>
      </c>
      <c r="AB21" s="2">
        <v>0.4572</v>
      </c>
      <c r="AC21" s="2">
        <v>0.1764</v>
      </c>
      <c r="AD21" s="2">
        <v>0.1857</v>
      </c>
      <c r="AE21" s="2">
        <v>0.2596</v>
      </c>
      <c r="AF21" s="2">
        <v>9.6439999999999998E-2</v>
      </c>
      <c r="AG21" s="2">
        <v>0.29070000000000001</v>
      </c>
      <c r="AH21" s="2">
        <v>0.79952209920000006</v>
      </c>
      <c r="AI21" s="2">
        <v>0.97624416384000001</v>
      </c>
      <c r="AJ21" s="2">
        <v>1.5455174169600001</v>
      </c>
      <c r="AK21" s="2">
        <v>1.2994809062399999</v>
      </c>
      <c r="AL21" s="2">
        <v>1.2759201100799999</v>
      </c>
      <c r="AM21" s="2">
        <v>1.5191402688</v>
      </c>
      <c r="AN21" s="2">
        <v>1.5035779123200002</v>
      </c>
      <c r="AO21" s="2">
        <v>1.4047480972800002</v>
      </c>
      <c r="AP21" s="2">
        <v>2.6269399999999998</v>
      </c>
      <c r="AQ21" s="2">
        <v>2.2030699999999999</v>
      </c>
      <c r="AR21" s="2">
        <v>0.28310000000000002</v>
      </c>
      <c r="AS21" s="119"/>
      <c r="AT21" s="119"/>
      <c r="AU21" s="119"/>
      <c r="AV21" s="119"/>
      <c r="AW21" s="119"/>
      <c r="AX21" s="119"/>
      <c r="AY21" s="119"/>
      <c r="AZ21" s="119"/>
      <c r="BA21" s="119"/>
      <c r="BB21" s="119"/>
      <c r="BC21" s="119"/>
      <c r="BD21" s="119"/>
      <c r="BE21" s="2">
        <v>0.13619999999999999</v>
      </c>
      <c r="BF21" s="2">
        <v>0.16589999999999999</v>
      </c>
      <c r="BG21" s="2">
        <v>0.29070000000000001</v>
      </c>
      <c r="BH21" s="2">
        <v>0.2505</v>
      </c>
      <c r="BI21" s="2">
        <v>0.312</v>
      </c>
      <c r="BJ21" s="2">
        <v>0.4572</v>
      </c>
      <c r="BK21" s="2">
        <v>0.2339</v>
      </c>
      <c r="BL21" s="2">
        <v>0.27929999999999999</v>
      </c>
      <c r="BM21" s="2">
        <v>0.3463</v>
      </c>
      <c r="BN21" s="2">
        <v>0.1764</v>
      </c>
      <c r="BO21" s="2">
        <v>0.1857</v>
      </c>
      <c r="BP21" s="2">
        <v>0.2596</v>
      </c>
      <c r="BQ21" s="2">
        <v>9.6439999999999998E-2</v>
      </c>
      <c r="BR21" s="2">
        <v>2.4130000000000002E-2</v>
      </c>
      <c r="BS21" s="2">
        <v>8.2199999999999999E-3</v>
      </c>
      <c r="BT21" s="2">
        <v>0.34399999999999997</v>
      </c>
      <c r="BU21" s="2">
        <v>0.70799999999999996</v>
      </c>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row>
    <row r="22" spans="2:115" x14ac:dyDescent="0.3">
      <c r="B22" s="192" t="s">
        <v>6</v>
      </c>
      <c r="C22" s="192"/>
      <c r="D22" s="2">
        <v>0.18385000000000001</v>
      </c>
      <c r="E22" s="2">
        <v>0.24675</v>
      </c>
      <c r="F22" s="2">
        <v>0.25675999999999999</v>
      </c>
      <c r="G22" s="2">
        <v>1.5630000000000002E-2</v>
      </c>
      <c r="H22" s="118">
        <v>1.5630000000000002E-2</v>
      </c>
      <c r="I22" s="118">
        <v>0.21446999999999999</v>
      </c>
      <c r="J22" s="118">
        <v>0.21410999999999999</v>
      </c>
      <c r="K22" s="118">
        <v>0.30560999999999999</v>
      </c>
      <c r="L22" s="2">
        <v>2.5404200000000001</v>
      </c>
      <c r="M22" s="2">
        <v>2.7582100000000001</v>
      </c>
      <c r="N22" s="50">
        <v>675</v>
      </c>
      <c r="O22" s="51">
        <v>2088</v>
      </c>
      <c r="P22" s="50">
        <v>1810</v>
      </c>
      <c r="Q22" s="2">
        <v>0.22868000000000002</v>
      </c>
      <c r="R22" s="2">
        <v>0.27459</v>
      </c>
      <c r="S22" s="2">
        <v>0.33712999999999999</v>
      </c>
      <c r="T22" s="2">
        <v>0.29132999999999998</v>
      </c>
      <c r="U22" s="2">
        <v>0.24068000000000001</v>
      </c>
      <c r="V22" s="2">
        <v>0.31309999999999999</v>
      </c>
      <c r="W22" s="2">
        <v>0.44702999999999998</v>
      </c>
      <c r="X22" s="2">
        <v>0.32601999999999998</v>
      </c>
      <c r="Y22" s="2">
        <v>0.29132999999999998</v>
      </c>
      <c r="Z22" s="2">
        <v>0.24736</v>
      </c>
      <c r="AA22" s="2">
        <v>0.30945</v>
      </c>
      <c r="AB22" s="2">
        <v>0.45535999999999999</v>
      </c>
      <c r="AC22" s="2">
        <v>0.16930000000000001</v>
      </c>
      <c r="AD22" s="2">
        <v>0.17534</v>
      </c>
      <c r="AE22" s="2">
        <v>0.21207000000000001</v>
      </c>
      <c r="AF22" s="2">
        <v>8.931E-2</v>
      </c>
      <c r="AG22" s="2">
        <v>0.28502</v>
      </c>
      <c r="AH22" s="2">
        <v>0.78924000000000005</v>
      </c>
      <c r="AI22" s="2">
        <v>0.96384999999999998</v>
      </c>
      <c r="AJ22" s="2">
        <v>1.58108</v>
      </c>
      <c r="AK22" s="2">
        <v>1.3175300000000001</v>
      </c>
      <c r="AL22" s="2">
        <v>1.2664</v>
      </c>
      <c r="AM22" s="2">
        <v>1.50786</v>
      </c>
      <c r="AN22" s="2">
        <v>1.4932799999999999</v>
      </c>
      <c r="AO22" s="2">
        <v>1.41662</v>
      </c>
      <c r="AP22" s="2">
        <v>2.5941100000000001</v>
      </c>
      <c r="AQ22" s="2">
        <v>2.2090399999999999</v>
      </c>
      <c r="AR22" s="2">
        <v>0.25559999999999999</v>
      </c>
      <c r="AS22" s="118">
        <v>6.5450000000000008E-2</v>
      </c>
      <c r="AT22" s="118">
        <v>5.8069999999999997E-2</v>
      </c>
      <c r="AU22" s="118">
        <v>7.1730000000000002E-2</v>
      </c>
      <c r="AV22" s="118">
        <v>6.6100000000000006E-2</v>
      </c>
      <c r="AW22" s="118">
        <v>7.3499999999999996E-2</v>
      </c>
      <c r="AX22" s="118">
        <v>8.5569999999999993E-2</v>
      </c>
      <c r="AY22" s="118">
        <v>0.10764</v>
      </c>
      <c r="AZ22" s="118">
        <v>8.9309999999999987E-2</v>
      </c>
      <c r="BA22" s="118">
        <v>7.3499999999999996E-2</v>
      </c>
      <c r="BB22" s="118">
        <v>8.5569999999999993E-2</v>
      </c>
      <c r="BC22" s="118">
        <v>0.10764</v>
      </c>
      <c r="BD22" s="118">
        <v>8.9309999999999987E-2</v>
      </c>
      <c r="BE22" s="2">
        <v>0.13591</v>
      </c>
      <c r="BF22" s="2">
        <v>0.16559000000000001</v>
      </c>
      <c r="BG22" s="2">
        <v>0.28502</v>
      </c>
      <c r="BH22" s="2">
        <v>0.24736</v>
      </c>
      <c r="BI22" s="2">
        <v>0.30945</v>
      </c>
      <c r="BJ22" s="2">
        <v>0.45535999999999999</v>
      </c>
      <c r="BK22" s="2">
        <v>0.22868000000000002</v>
      </c>
      <c r="BL22" s="2">
        <v>0.27459</v>
      </c>
      <c r="BM22" s="2">
        <v>0.33712999999999999</v>
      </c>
      <c r="BN22" s="2">
        <v>0.16930000000000001</v>
      </c>
      <c r="BO22" s="2">
        <v>0.17534</v>
      </c>
      <c r="BP22" s="2">
        <v>0.21207000000000001</v>
      </c>
      <c r="BQ22" s="2">
        <v>8.931E-2</v>
      </c>
      <c r="BR22" s="2">
        <v>2.1700000000000001E-2</v>
      </c>
      <c r="BS22" s="2">
        <v>7.5799999999999999E-3</v>
      </c>
      <c r="BT22" s="2">
        <v>0.34399999999999997</v>
      </c>
      <c r="BU22" s="2">
        <v>0.70799999999999996</v>
      </c>
      <c r="BV22" s="118">
        <v>4060.1635999999999</v>
      </c>
      <c r="BW22" s="118" t="s">
        <v>678</v>
      </c>
      <c r="BX22" s="2">
        <v>3116.0562</v>
      </c>
      <c r="BY22" s="2">
        <v>656.4796</v>
      </c>
      <c r="BZ22" s="2">
        <v>2301.6181000000001</v>
      </c>
      <c r="CA22" s="2">
        <v>3777.9488999999999</v>
      </c>
      <c r="CB22" s="2">
        <v>1648.625</v>
      </c>
      <c r="CC22" s="2">
        <v>3177.0625</v>
      </c>
      <c r="CD22" s="2">
        <v>3413.0841999999998</v>
      </c>
      <c r="CE22" s="2">
        <v>604.26139999999998</v>
      </c>
      <c r="CF22" s="2">
        <v>2467.7757000000001</v>
      </c>
      <c r="CG22" s="2">
        <v>952.68190000000004</v>
      </c>
      <c r="CH22" s="2">
        <v>794.23500000000001</v>
      </c>
      <c r="CI22" s="118">
        <v>19</v>
      </c>
      <c r="CJ22" s="118">
        <v>529</v>
      </c>
      <c r="CK22" s="118">
        <v>21.3538</v>
      </c>
      <c r="CL22" s="118">
        <v>8.9863999999999997</v>
      </c>
      <c r="CM22" s="118">
        <v>21.3538</v>
      </c>
      <c r="CN22" s="118">
        <v>10.203900000000001</v>
      </c>
      <c r="CO22" s="118">
        <v>626.95920000000001</v>
      </c>
      <c r="CP22" s="118">
        <v>10.203900000000001</v>
      </c>
      <c r="CQ22" s="118">
        <v>21.3538</v>
      </c>
      <c r="CR22" s="118">
        <v>21.3538</v>
      </c>
      <c r="CS22" s="118">
        <v>10.203900000000001</v>
      </c>
      <c r="CT22" s="118">
        <v>99.759200000000007</v>
      </c>
      <c r="CU22" s="118">
        <v>10.203900000000001</v>
      </c>
      <c r="CV22" s="118">
        <v>21.3538</v>
      </c>
      <c r="CW22" s="118">
        <v>21.3538</v>
      </c>
      <c r="CX22" s="118">
        <v>8.9863999999999997</v>
      </c>
      <c r="CY22" s="118">
        <v>21.3538</v>
      </c>
      <c r="CZ22" s="118">
        <v>21.3538</v>
      </c>
      <c r="DA22" s="118">
        <v>21.3538</v>
      </c>
      <c r="DB22" s="118">
        <v>8.9863999999999997</v>
      </c>
      <c r="DC22" s="118">
        <v>21.3538</v>
      </c>
      <c r="DD22" s="118">
        <v>21.3538</v>
      </c>
      <c r="DE22" s="118">
        <v>21.3538</v>
      </c>
      <c r="DF22" s="118">
        <v>8.9863999999999997</v>
      </c>
      <c r="DG22" s="118">
        <v>21.3538</v>
      </c>
      <c r="DH22" s="118">
        <v>21.3538</v>
      </c>
      <c r="DI22" s="118">
        <v>10.203900000000001</v>
      </c>
      <c r="DJ22" s="118">
        <v>1041.8880999999999</v>
      </c>
    </row>
    <row r="23" spans="2:115" x14ac:dyDescent="0.3">
      <c r="B23" s="192" t="s">
        <v>45</v>
      </c>
      <c r="C23" s="192"/>
      <c r="D23" s="7">
        <v>0.18387000000000001</v>
      </c>
      <c r="E23" s="7">
        <v>0.24665999999999999</v>
      </c>
      <c r="F23" s="7">
        <v>0.25672</v>
      </c>
      <c r="G23" s="7">
        <v>1.545E-2</v>
      </c>
      <c r="H23" s="118">
        <v>1.545E-2</v>
      </c>
      <c r="I23" s="118">
        <v>0.21448</v>
      </c>
      <c r="J23" s="118">
        <v>0.21410999999999999</v>
      </c>
      <c r="K23" s="118">
        <v>0.34461999999999998</v>
      </c>
      <c r="L23" s="118">
        <v>2.5403899999999999</v>
      </c>
      <c r="M23" s="118">
        <v>2.7577600000000002</v>
      </c>
      <c r="N23" s="157">
        <v>675</v>
      </c>
      <c r="O23" s="157">
        <v>2088</v>
      </c>
      <c r="P23" s="157">
        <v>1810</v>
      </c>
      <c r="Q23" s="118">
        <v>0.22081999999999999</v>
      </c>
      <c r="R23" s="118">
        <v>0.26775000000000004</v>
      </c>
      <c r="S23" s="118">
        <v>0.32863000000000003</v>
      </c>
      <c r="T23" s="118">
        <v>0.28369000000000005</v>
      </c>
      <c r="U23" s="118">
        <v>0.23904</v>
      </c>
      <c r="V23" s="118">
        <v>0.30415999999999999</v>
      </c>
      <c r="W23" s="118">
        <v>0.43726999999999999</v>
      </c>
      <c r="X23" s="118">
        <v>0.30805000000000005</v>
      </c>
      <c r="Y23" s="118">
        <v>0.28369000000000005</v>
      </c>
      <c r="Z23" s="118">
        <v>0.23877000000000001</v>
      </c>
      <c r="AA23" s="118">
        <v>0.30029</v>
      </c>
      <c r="AB23" s="118">
        <v>0.44751999999999997</v>
      </c>
      <c r="AC23" s="118">
        <v>0.16538</v>
      </c>
      <c r="AD23" s="118">
        <v>0.17216000000000001</v>
      </c>
      <c r="AE23" s="118">
        <v>0.23303999999999997</v>
      </c>
      <c r="AF23" s="118">
        <v>8.4870000000000001E-2</v>
      </c>
      <c r="AG23" s="118">
        <v>0.27583999999999997</v>
      </c>
      <c r="AH23" s="118">
        <v>0.77651999999999999</v>
      </c>
      <c r="AI23" s="118">
        <v>0.94835000000000003</v>
      </c>
      <c r="AJ23" s="118">
        <v>1.55192</v>
      </c>
      <c r="AK23" s="118">
        <v>1.28928</v>
      </c>
      <c r="AL23" s="118">
        <v>1.24844</v>
      </c>
      <c r="AM23" s="118">
        <v>1.4864999999999999</v>
      </c>
      <c r="AN23" s="118">
        <v>1.47366</v>
      </c>
      <c r="AO23" s="118">
        <v>1.39273</v>
      </c>
      <c r="AP23" s="118">
        <v>2.54603</v>
      </c>
      <c r="AQ23" s="118">
        <v>2.1680199999999998</v>
      </c>
      <c r="AR23" s="118">
        <v>0.23313999999999999</v>
      </c>
      <c r="AS23" s="118">
        <v>5.373E-2</v>
      </c>
      <c r="AT23" s="118">
        <v>3.32E-2</v>
      </c>
      <c r="AU23" s="118">
        <v>4.3650000000000001E-2</v>
      </c>
      <c r="AV23" s="118">
        <v>4.0259999999999997E-2</v>
      </c>
      <c r="AW23" s="118">
        <v>6.8709999999999993E-2</v>
      </c>
      <c r="AX23" s="118">
        <v>8.2450000000000009E-2</v>
      </c>
      <c r="AY23" s="118">
        <v>9.849999999999999E-2</v>
      </c>
      <c r="AZ23" s="118">
        <v>8.4870000000000001E-2</v>
      </c>
      <c r="BA23" s="118">
        <v>6.4010000000000011E-2</v>
      </c>
      <c r="BB23" s="118">
        <v>8.9190000000000005E-2</v>
      </c>
      <c r="BC23" s="118">
        <v>0.12480000000000001</v>
      </c>
      <c r="BD23" s="118">
        <v>8.9270000000000002E-2</v>
      </c>
      <c r="BE23" s="118">
        <v>0.13321</v>
      </c>
      <c r="BF23" s="118">
        <v>0.1623</v>
      </c>
      <c r="BG23" s="118">
        <v>0.27583999999999997</v>
      </c>
      <c r="BH23" s="118">
        <v>0.23877000000000001</v>
      </c>
      <c r="BI23" s="118">
        <v>0.30029</v>
      </c>
      <c r="BJ23" s="118">
        <v>0.44751999999999997</v>
      </c>
      <c r="BK23" s="118">
        <v>0.22081999999999999</v>
      </c>
      <c r="BL23" s="118">
        <v>0.26775000000000004</v>
      </c>
      <c r="BM23" s="118">
        <v>0.32863000000000003</v>
      </c>
      <c r="BN23" s="118">
        <v>0.16538</v>
      </c>
      <c r="BO23" s="118">
        <v>0.17216000000000001</v>
      </c>
      <c r="BP23" s="118">
        <v>0.23303999999999997</v>
      </c>
      <c r="BQ23" s="118">
        <v>8.4870000000000001E-2</v>
      </c>
      <c r="BR23" s="118">
        <v>2.0049999999999998E-2</v>
      </c>
      <c r="BS23" s="118">
        <v>7.2899999999999996E-3</v>
      </c>
      <c r="BT23" s="118">
        <v>0.34399999999999997</v>
      </c>
      <c r="BU23" s="118">
        <v>0.70799999999999996</v>
      </c>
      <c r="BV23" s="118">
        <v>3701.4036000000001</v>
      </c>
      <c r="BW23" s="118">
        <v>24865.47556489753</v>
      </c>
      <c r="BX23" s="2">
        <v>3116.2916</v>
      </c>
      <c r="BY23" s="2">
        <v>600</v>
      </c>
      <c r="BZ23" s="2">
        <v>2326.5302999999999</v>
      </c>
      <c r="CA23" s="2">
        <v>3777.9488999999999</v>
      </c>
      <c r="CB23" s="2">
        <v>600</v>
      </c>
      <c r="CC23" s="2">
        <v>3198.9573</v>
      </c>
      <c r="CD23" s="2">
        <v>3413.0841999999998</v>
      </c>
      <c r="CE23" s="2">
        <v>600</v>
      </c>
      <c r="CF23" s="2">
        <v>2489.6704</v>
      </c>
      <c r="CG23" s="2">
        <v>919.3963</v>
      </c>
      <c r="CH23" s="2">
        <v>739.3963</v>
      </c>
      <c r="CI23" s="118">
        <v>21.316700000000001</v>
      </c>
      <c r="CJ23" s="118">
        <v>21.316700000000001</v>
      </c>
      <c r="CK23" s="118">
        <v>21.316700000000001</v>
      </c>
      <c r="CL23" s="118">
        <v>8.9344000000000001</v>
      </c>
      <c r="CM23" s="118">
        <v>21.316700000000001</v>
      </c>
      <c r="CN23" s="118">
        <v>10.203900000000001</v>
      </c>
      <c r="CO23" s="118">
        <v>626.90729999999996</v>
      </c>
      <c r="CP23" s="118">
        <v>10.203900000000001</v>
      </c>
      <c r="CQ23" s="118">
        <v>21.316700000000001</v>
      </c>
      <c r="CR23" s="118">
        <v>21.316700000000001</v>
      </c>
      <c r="CS23" s="118">
        <v>458.17630000000003</v>
      </c>
      <c r="CT23" s="118">
        <v>10.203900000000001</v>
      </c>
      <c r="CU23" s="118">
        <v>10.203900000000001</v>
      </c>
      <c r="CV23" s="118">
        <v>21.316700000000001</v>
      </c>
      <c r="CW23" s="118">
        <v>21.316700000000001</v>
      </c>
      <c r="CX23" s="118">
        <v>8.9863999999999997</v>
      </c>
      <c r="CY23" s="118">
        <v>21.316700000000001</v>
      </c>
      <c r="CZ23" s="118">
        <v>21.316700000000001</v>
      </c>
      <c r="DA23" s="118">
        <v>21.316700000000001</v>
      </c>
      <c r="DB23" s="118">
        <v>8.9863999999999997</v>
      </c>
      <c r="DC23" s="118">
        <v>21.316700000000001</v>
      </c>
      <c r="DD23" s="118">
        <v>21.316700000000001</v>
      </c>
      <c r="DE23" s="118">
        <v>21.316700000000001</v>
      </c>
      <c r="DF23" s="118">
        <v>8.9344000000000001</v>
      </c>
      <c r="DG23" s="118">
        <v>21.316700000000001</v>
      </c>
      <c r="DH23" s="118">
        <v>21.316700000000001</v>
      </c>
      <c r="DI23" s="118">
        <v>10.203900000000001</v>
      </c>
      <c r="DJ23" s="118">
        <v>1041.8361</v>
      </c>
    </row>
    <row r="24" spans="2:115" x14ac:dyDescent="0.3">
      <c r="B24" s="192" t="s">
        <v>46</v>
      </c>
      <c r="C24" s="192"/>
      <c r="D24" s="118">
        <v>0.18315999999999999</v>
      </c>
      <c r="E24" s="118">
        <v>0.24676999999999999</v>
      </c>
      <c r="F24" s="118">
        <v>0.25679000000000002</v>
      </c>
      <c r="G24" s="118">
        <v>1.5129999999999999E-2</v>
      </c>
      <c r="H24" s="118">
        <v>1.5129999999999999E-2</v>
      </c>
      <c r="I24" s="118">
        <v>0.21448999999999999</v>
      </c>
      <c r="J24" s="118">
        <v>0.21410999999999999</v>
      </c>
      <c r="K24" s="118">
        <v>0.34461999999999998</v>
      </c>
      <c r="L24" s="118">
        <v>2.5401400000000001</v>
      </c>
      <c r="M24" s="118">
        <v>2.7585700000000002</v>
      </c>
      <c r="N24" s="51">
        <v>675</v>
      </c>
      <c r="O24" s="51">
        <v>2088</v>
      </c>
      <c r="P24" s="51">
        <v>1810</v>
      </c>
      <c r="Q24" s="118">
        <v>0.22142999999999999</v>
      </c>
      <c r="R24" s="118">
        <v>0.26549</v>
      </c>
      <c r="S24" s="118">
        <v>0.33348</v>
      </c>
      <c r="T24" s="118">
        <v>0.28170000000000001</v>
      </c>
      <c r="U24" s="118">
        <v>0.23608000000000001</v>
      </c>
      <c r="V24" s="118">
        <v>0.29476000000000002</v>
      </c>
      <c r="W24" s="118">
        <v>0.42695</v>
      </c>
      <c r="X24" s="118">
        <v>0.32793</v>
      </c>
      <c r="Y24" s="7">
        <v>0.42695</v>
      </c>
      <c r="Z24" s="118">
        <v>0.24052000000000001</v>
      </c>
      <c r="AA24" s="118">
        <v>0.30231000000000002</v>
      </c>
      <c r="AB24" s="118">
        <v>0.44913999999999998</v>
      </c>
      <c r="AC24" s="118">
        <v>0.16889000000000001</v>
      </c>
      <c r="AD24" s="118">
        <v>0.17635000000000001</v>
      </c>
      <c r="AE24" s="118">
        <v>0.24382000000000001</v>
      </c>
      <c r="AF24" s="118">
        <v>8.097E-2</v>
      </c>
      <c r="AG24" s="118">
        <v>0.27595999999999998</v>
      </c>
      <c r="AH24" s="118">
        <v>0.77342</v>
      </c>
      <c r="AI24" s="118">
        <v>0.94455999999999996</v>
      </c>
      <c r="AJ24" s="118">
        <v>1.54098</v>
      </c>
      <c r="AK24" s="118">
        <v>1.2923899999999999</v>
      </c>
      <c r="AL24" s="118">
        <v>1.2387999999999999</v>
      </c>
      <c r="AM24" s="118">
        <v>1.4749399999999999</v>
      </c>
      <c r="AN24" s="118">
        <v>1.4652700000000001</v>
      </c>
      <c r="AO24" s="118">
        <v>1.3905799999999999</v>
      </c>
      <c r="AP24" s="118">
        <v>2.51233</v>
      </c>
      <c r="AQ24" s="7">
        <v>2.1935199999999999</v>
      </c>
      <c r="AR24" s="118">
        <v>0.21232999999999999</v>
      </c>
      <c r="AS24" s="118">
        <v>4.9200000000000001E-2</v>
      </c>
      <c r="AT24" s="118">
        <v>3.1809999999999998E-2</v>
      </c>
      <c r="AU24" s="118">
        <v>4.1680000000000002E-2</v>
      </c>
      <c r="AV24" s="118">
        <v>3.8350000000000002E-2</v>
      </c>
      <c r="AW24" s="118">
        <v>6.7500000000000004E-2</v>
      </c>
      <c r="AX24" s="118">
        <v>7.7670000000000003E-2</v>
      </c>
      <c r="AY24" s="118">
        <v>8.9690000000000006E-2</v>
      </c>
      <c r="AZ24" s="118">
        <v>8.097E-2</v>
      </c>
      <c r="BA24" s="118">
        <v>5.849E-2</v>
      </c>
      <c r="BB24" s="118">
        <v>8.072E-2</v>
      </c>
      <c r="BC24" s="118">
        <v>0.11325</v>
      </c>
      <c r="BD24" s="118">
        <v>8.0780000000000005E-2</v>
      </c>
      <c r="BE24" s="118">
        <v>0.13369</v>
      </c>
      <c r="BF24" s="118">
        <v>0.16236999999999999</v>
      </c>
      <c r="BG24" s="118">
        <v>0.27595999999999998</v>
      </c>
      <c r="BH24" s="118">
        <v>0.24052000000000001</v>
      </c>
      <c r="BI24" s="118">
        <v>0.30231000000000002</v>
      </c>
      <c r="BJ24" s="118">
        <v>0.44913999999999998</v>
      </c>
      <c r="BK24" s="118">
        <v>0.22142999999999999</v>
      </c>
      <c r="BL24" s="118">
        <v>0.26549</v>
      </c>
      <c r="BM24" s="118">
        <v>0.33348</v>
      </c>
      <c r="BN24" s="118">
        <v>0.16889000000000001</v>
      </c>
      <c r="BO24" s="118">
        <v>0.17635000000000001</v>
      </c>
      <c r="BP24" s="118">
        <v>0.24382000000000001</v>
      </c>
      <c r="BQ24" s="118">
        <v>8.097E-2</v>
      </c>
      <c r="BR24" s="118">
        <v>1.8790000000000001E-2</v>
      </c>
      <c r="BS24" s="118">
        <v>7.1700000000000002E-3</v>
      </c>
      <c r="BT24" s="118">
        <v>0.14899999999999999</v>
      </c>
      <c r="BU24" s="118">
        <v>0.27200000000000002</v>
      </c>
      <c r="BV24" s="2">
        <v>3701.4</v>
      </c>
      <c r="BW24" s="2">
        <v>24865.48</v>
      </c>
      <c r="BX24" s="2">
        <v>3116.29</v>
      </c>
      <c r="BY24" s="2">
        <v>600</v>
      </c>
      <c r="BZ24" s="2">
        <v>2326.5300000000002</v>
      </c>
      <c r="CA24" s="2">
        <v>3777.95</v>
      </c>
      <c r="CB24" s="2">
        <v>600</v>
      </c>
      <c r="CC24" s="2">
        <v>3198.96</v>
      </c>
      <c r="CD24" s="2">
        <v>3413.08</v>
      </c>
      <c r="CE24" s="2">
        <v>600</v>
      </c>
      <c r="CF24" s="2">
        <v>2489.67</v>
      </c>
      <c r="CG24" s="2">
        <v>919.4</v>
      </c>
      <c r="CH24" s="2">
        <v>739.4</v>
      </c>
      <c r="CI24" s="118">
        <v>21.294</v>
      </c>
      <c r="CJ24" s="118">
        <v>21.294</v>
      </c>
      <c r="CK24" s="118">
        <v>21.294</v>
      </c>
      <c r="CL24" s="118">
        <v>8.9019999999999992</v>
      </c>
      <c r="CM24" s="118">
        <v>21.294</v>
      </c>
      <c r="CN24" s="118">
        <v>8.9510000000000005</v>
      </c>
      <c r="CO24" s="118">
        <v>626.875</v>
      </c>
      <c r="CP24" s="118">
        <v>8.9510000000000005</v>
      </c>
      <c r="CQ24" s="118">
        <v>21.294</v>
      </c>
      <c r="CR24" s="118">
        <v>21.294</v>
      </c>
      <c r="CS24" s="118">
        <v>8.9510000000000005</v>
      </c>
      <c r="CT24" s="118">
        <v>467.04599999999999</v>
      </c>
      <c r="CU24" s="118">
        <v>8.9510000000000005</v>
      </c>
      <c r="CV24" s="118">
        <v>21.294</v>
      </c>
      <c r="CW24" s="118">
        <v>21.294</v>
      </c>
      <c r="CX24" s="118">
        <v>8.9019999999999992</v>
      </c>
      <c r="CY24" s="118">
        <v>21.294</v>
      </c>
      <c r="CZ24" s="118">
        <v>21.294</v>
      </c>
      <c r="DA24" s="118">
        <v>21.294</v>
      </c>
      <c r="DB24" s="118">
        <v>8.9019999999999992</v>
      </c>
      <c r="DC24" s="118">
        <v>21.294</v>
      </c>
      <c r="DD24" s="118">
        <v>21.294</v>
      </c>
      <c r="DE24" s="118">
        <v>21.294</v>
      </c>
      <c r="DF24" s="118">
        <v>8.9019999999999992</v>
      </c>
      <c r="DG24" s="118">
        <v>21.294</v>
      </c>
      <c r="DH24" s="118">
        <v>21.294</v>
      </c>
      <c r="DI24" s="118">
        <v>8.9510000000000005</v>
      </c>
      <c r="DJ24" s="118">
        <v>1041.8040000000001</v>
      </c>
    </row>
    <row r="25" spans="2:115" x14ac:dyDescent="0.3">
      <c r="B25" s="192" t="s">
        <v>47</v>
      </c>
      <c r="C25" s="192"/>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120"/>
      <c r="BW25" s="120"/>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row>
    <row r="26" spans="2:115" x14ac:dyDescent="0.3">
      <c r="B26" s="192" t="s">
        <v>48</v>
      </c>
      <c r="C26" s="192"/>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120"/>
      <c r="BW26" s="120"/>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row>
    <row r="27" spans="2:115" x14ac:dyDescent="0.3">
      <c r="B27" s="192" t="s">
        <v>49</v>
      </c>
      <c r="C27" s="192"/>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120"/>
      <c r="BW27" s="120"/>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row>
    <row r="28" spans="2:115" x14ac:dyDescent="0.3">
      <c r="B28" s="192" t="s">
        <v>50</v>
      </c>
      <c r="C28" s="192"/>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120"/>
      <c r="BW28" s="120"/>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row>
    <row r="29" spans="2:115" x14ac:dyDescent="0.3">
      <c r="B29" s="192" t="s">
        <v>51</v>
      </c>
      <c r="C29" s="192"/>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120"/>
      <c r="BW29" s="120"/>
      <c r="BX29" s="121"/>
      <c r="BY29" s="121"/>
      <c r="BZ29" s="121"/>
      <c r="CA29" s="121"/>
      <c r="CB29" s="121"/>
      <c r="CC29" s="121"/>
      <c r="CD29" s="121"/>
      <c r="CE29" s="121"/>
      <c r="CF29" s="121"/>
      <c r="CG29" s="121"/>
      <c r="CH29" s="121"/>
      <c r="CI29" s="121"/>
      <c r="CJ29" s="121"/>
      <c r="CK29" s="121"/>
      <c r="CL29" s="121"/>
      <c r="CM29" s="121"/>
      <c r="CN29" s="121"/>
      <c r="CO29" s="121"/>
      <c r="CP29" s="121"/>
      <c r="CQ29" s="121"/>
      <c r="CR29" s="121"/>
      <c r="CS29" s="121"/>
      <c r="CT29" s="121"/>
      <c r="CU29" s="121"/>
      <c r="CV29" s="121"/>
      <c r="CW29" s="121"/>
      <c r="CX29" s="121"/>
      <c r="CY29" s="121"/>
      <c r="CZ29" s="121"/>
      <c r="DA29" s="121"/>
      <c r="DB29" s="121"/>
      <c r="DC29" s="121"/>
      <c r="DD29" s="121"/>
      <c r="DE29" s="121"/>
      <c r="DF29" s="121"/>
      <c r="DG29" s="121"/>
      <c r="DH29" s="121"/>
      <c r="DI29" s="121"/>
      <c r="DJ29" s="121"/>
    </row>
    <row r="32" spans="2:115" x14ac:dyDescent="0.3">
      <c r="B32" s="28" t="s">
        <v>537</v>
      </c>
      <c r="C32" s="29"/>
      <c r="D32" s="29"/>
    </row>
    <row r="33" spans="2:4" x14ac:dyDescent="0.3">
      <c r="B33" s="169" t="s">
        <v>538</v>
      </c>
      <c r="C33" s="169"/>
      <c r="D33" s="169"/>
    </row>
  </sheetData>
  <mergeCells count="31">
    <mergeCell ref="BV16:CG16"/>
    <mergeCell ref="CI16:DJ16"/>
    <mergeCell ref="BE14:DJ14"/>
    <mergeCell ref="BE16:BQ16"/>
    <mergeCell ref="BT16:BU16"/>
    <mergeCell ref="C7:M7"/>
    <mergeCell ref="C11:D11"/>
    <mergeCell ref="C9:D9"/>
    <mergeCell ref="AP16:AQ16"/>
    <mergeCell ref="L16:M16"/>
    <mergeCell ref="Q16:AO16"/>
    <mergeCell ref="N16:P16"/>
    <mergeCell ref="D14:AQ14"/>
    <mergeCell ref="D16:K16"/>
    <mergeCell ref="AR14:BD14"/>
    <mergeCell ref="AS16:BD16"/>
    <mergeCell ref="B17:C17"/>
    <mergeCell ref="B18:C18"/>
    <mergeCell ref="B19:C19"/>
    <mergeCell ref="B16:C16"/>
    <mergeCell ref="B33:D33"/>
    <mergeCell ref="B20:C20"/>
    <mergeCell ref="B21:C21"/>
    <mergeCell ref="B22:C22"/>
    <mergeCell ref="B28:C28"/>
    <mergeCell ref="B29:C29"/>
    <mergeCell ref="B23:C23"/>
    <mergeCell ref="B24:C24"/>
    <mergeCell ref="B25:C25"/>
    <mergeCell ref="B26:C26"/>
    <mergeCell ref="B27:C27"/>
  </mergeCells>
  <hyperlinks>
    <hyperlink ref="C7" r:id="rId1" xr:uid="{9D80C796-1FE1-431A-955B-3E490162C360}"/>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E4405-F3D6-4FBA-9A7D-543BC1D516D9}">
  <dimension ref="B2:AL382"/>
  <sheetViews>
    <sheetView topLeftCell="H1" workbookViewId="0">
      <selection activeCell="N7" sqref="N7"/>
    </sheetView>
  </sheetViews>
  <sheetFormatPr defaultColWidth="8.83203125" defaultRowHeight="14" x14ac:dyDescent="0.3"/>
  <cols>
    <col min="2" max="2" width="13.83203125" bestFit="1" customWidth="1"/>
    <col min="4" max="4" width="22.58203125" bestFit="1" customWidth="1"/>
    <col min="6" max="6" width="31.33203125" bestFit="1" customWidth="1"/>
    <col min="8" max="8" width="33.08203125" bestFit="1" customWidth="1"/>
    <col min="10" max="10" width="33.08203125" bestFit="1" customWidth="1"/>
    <col min="12" max="12" width="11.6640625" bestFit="1" customWidth="1"/>
    <col min="16" max="16" width="26.58203125" bestFit="1" customWidth="1"/>
    <col min="18" max="18" width="10.1640625" bestFit="1" customWidth="1"/>
    <col min="20" max="20" width="12.5" bestFit="1" customWidth="1"/>
    <col min="22" max="22" width="22.58203125" customWidth="1"/>
    <col min="24" max="24" width="22.1640625" customWidth="1"/>
    <col min="26" max="26" width="12.58203125" customWidth="1"/>
    <col min="28" max="28" width="18" customWidth="1"/>
    <col min="29" max="29" width="9.08203125" customWidth="1"/>
    <col min="30" max="30" width="18.5" customWidth="1"/>
    <col min="32" max="32" width="14.9140625" customWidth="1"/>
    <col min="34" max="34" width="12" customWidth="1"/>
    <col min="36" max="36" width="13.83203125" customWidth="1"/>
    <col min="38" max="38" width="13.08203125" customWidth="1"/>
  </cols>
  <sheetData>
    <row r="2" spans="2:38" x14ac:dyDescent="0.3">
      <c r="B2" t="s">
        <v>33</v>
      </c>
      <c r="D2" t="s">
        <v>473</v>
      </c>
      <c r="F2" t="s">
        <v>437</v>
      </c>
      <c r="H2" t="s">
        <v>436</v>
      </c>
      <c r="J2" t="s">
        <v>438</v>
      </c>
      <c r="L2" t="s">
        <v>488</v>
      </c>
      <c r="N2" t="s">
        <v>670</v>
      </c>
      <c r="P2" t="s">
        <v>489</v>
      </c>
      <c r="R2" t="s">
        <v>508</v>
      </c>
      <c r="T2" t="s">
        <v>511</v>
      </c>
      <c r="V2" t="s">
        <v>614</v>
      </c>
      <c r="X2" t="s">
        <v>615</v>
      </c>
      <c r="Z2" t="s">
        <v>616</v>
      </c>
      <c r="AB2" t="s">
        <v>623</v>
      </c>
      <c r="AD2" t="s">
        <v>624</v>
      </c>
      <c r="AF2" t="s">
        <v>625</v>
      </c>
      <c r="AH2" t="s">
        <v>626</v>
      </c>
      <c r="AJ2" t="s">
        <v>627</v>
      </c>
      <c r="AL2" t="s">
        <v>628</v>
      </c>
    </row>
    <row r="4" spans="2:38" x14ac:dyDescent="0.3">
      <c r="B4" t="s">
        <v>1</v>
      </c>
      <c r="D4" t="s">
        <v>486</v>
      </c>
      <c r="H4" t="s">
        <v>442</v>
      </c>
      <c r="J4" t="s">
        <v>442</v>
      </c>
      <c r="L4" t="s">
        <v>455</v>
      </c>
      <c r="N4" t="s">
        <v>455</v>
      </c>
      <c r="P4" t="s">
        <v>487</v>
      </c>
      <c r="R4" t="s">
        <v>25</v>
      </c>
      <c r="T4" t="s">
        <v>24</v>
      </c>
      <c r="V4" t="s">
        <v>455</v>
      </c>
      <c r="X4" t="s">
        <v>455</v>
      </c>
      <c r="Z4" t="s">
        <v>455</v>
      </c>
      <c r="AB4" t="s">
        <v>455</v>
      </c>
      <c r="AD4" t="s">
        <v>455</v>
      </c>
      <c r="AF4" t="s">
        <v>455</v>
      </c>
      <c r="AH4" t="s">
        <v>455</v>
      </c>
      <c r="AJ4" t="s">
        <v>455</v>
      </c>
      <c r="AL4" t="s">
        <v>455</v>
      </c>
    </row>
    <row r="5" spans="2:38" x14ac:dyDescent="0.3">
      <c r="B5" t="s">
        <v>2</v>
      </c>
      <c r="D5" t="s">
        <v>474</v>
      </c>
      <c r="F5" t="s">
        <v>249</v>
      </c>
      <c r="H5" t="s">
        <v>431</v>
      </c>
      <c r="J5" t="s">
        <v>420</v>
      </c>
      <c r="L5" t="s">
        <v>454</v>
      </c>
      <c r="N5" t="s">
        <v>40</v>
      </c>
      <c r="P5" t="s">
        <v>38</v>
      </c>
      <c r="R5" t="s">
        <v>509</v>
      </c>
      <c r="T5" t="s">
        <v>509</v>
      </c>
      <c r="V5" t="s">
        <v>610</v>
      </c>
      <c r="X5" t="s">
        <v>610</v>
      </c>
      <c r="Z5" t="s">
        <v>617</v>
      </c>
      <c r="AB5" t="s">
        <v>619</v>
      </c>
      <c r="AD5" t="s">
        <v>618</v>
      </c>
      <c r="AF5" t="s">
        <v>617</v>
      </c>
      <c r="AH5" t="s">
        <v>617</v>
      </c>
      <c r="AJ5" t="s">
        <v>617</v>
      </c>
      <c r="AL5" t="s">
        <v>618</v>
      </c>
    </row>
    <row r="6" spans="2:38" x14ac:dyDescent="0.3">
      <c r="B6" t="s">
        <v>3</v>
      </c>
      <c r="D6" t="s">
        <v>475</v>
      </c>
      <c r="F6" t="s">
        <v>100</v>
      </c>
      <c r="H6" t="s">
        <v>431</v>
      </c>
      <c r="J6" t="s">
        <v>398</v>
      </c>
      <c r="L6" t="s">
        <v>456</v>
      </c>
      <c r="N6" t="s">
        <v>671</v>
      </c>
      <c r="P6" t="s">
        <v>39</v>
      </c>
      <c r="V6" t="s">
        <v>611</v>
      </c>
      <c r="X6" t="s">
        <v>612</v>
      </c>
      <c r="Z6" t="s">
        <v>618</v>
      </c>
      <c r="AB6" t="s">
        <v>621</v>
      </c>
      <c r="AD6" t="s">
        <v>619</v>
      </c>
      <c r="AF6" t="s">
        <v>619</v>
      </c>
      <c r="AH6" t="s">
        <v>618</v>
      </c>
      <c r="AJ6" t="s">
        <v>618</v>
      </c>
      <c r="AL6" t="s">
        <v>619</v>
      </c>
    </row>
    <row r="7" spans="2:38" x14ac:dyDescent="0.3">
      <c r="B7" t="s">
        <v>4</v>
      </c>
      <c r="D7" t="s">
        <v>476</v>
      </c>
      <c r="F7" t="s">
        <v>106</v>
      </c>
      <c r="H7" t="s">
        <v>431</v>
      </c>
      <c r="J7" t="s">
        <v>399</v>
      </c>
      <c r="V7" t="s">
        <v>612</v>
      </c>
      <c r="Z7" t="s">
        <v>619</v>
      </c>
      <c r="AB7" t="s">
        <v>620</v>
      </c>
      <c r="AD7" t="s">
        <v>621</v>
      </c>
      <c r="AF7" t="s">
        <v>620</v>
      </c>
      <c r="AH7" t="s">
        <v>619</v>
      </c>
      <c r="AJ7" t="s">
        <v>619</v>
      </c>
      <c r="AL7" t="s">
        <v>621</v>
      </c>
    </row>
    <row r="8" spans="2:38" x14ac:dyDescent="0.3">
      <c r="B8" t="s">
        <v>5</v>
      </c>
      <c r="D8" t="s">
        <v>477</v>
      </c>
      <c r="F8" t="s">
        <v>250</v>
      </c>
      <c r="H8" t="s">
        <v>431</v>
      </c>
      <c r="J8" t="s">
        <v>420</v>
      </c>
      <c r="Z8" t="s">
        <v>620</v>
      </c>
      <c r="AB8" t="s">
        <v>622</v>
      </c>
      <c r="AD8" t="s">
        <v>620</v>
      </c>
      <c r="AH8" t="s">
        <v>620</v>
      </c>
      <c r="AJ8" t="s">
        <v>620</v>
      </c>
      <c r="AL8" t="s">
        <v>620</v>
      </c>
    </row>
    <row r="9" spans="2:38" x14ac:dyDescent="0.3">
      <c r="B9" t="s">
        <v>6</v>
      </c>
      <c r="D9" t="s">
        <v>478</v>
      </c>
      <c r="F9" t="s">
        <v>211</v>
      </c>
      <c r="H9" t="s">
        <v>431</v>
      </c>
      <c r="J9" t="s">
        <v>413</v>
      </c>
      <c r="AD9" t="s">
        <v>622</v>
      </c>
    </row>
    <row r="10" spans="2:38" x14ac:dyDescent="0.3">
      <c r="B10" t="s">
        <v>45</v>
      </c>
      <c r="D10" t="s">
        <v>479</v>
      </c>
      <c r="F10" t="s">
        <v>155</v>
      </c>
      <c r="H10" t="s">
        <v>431</v>
      </c>
      <c r="J10" t="s">
        <v>406</v>
      </c>
    </row>
    <row r="11" spans="2:38" x14ac:dyDescent="0.3">
      <c r="B11" t="s">
        <v>46</v>
      </c>
      <c r="D11" t="s">
        <v>480</v>
      </c>
      <c r="F11" t="s">
        <v>92</v>
      </c>
      <c r="H11" t="s">
        <v>431</v>
      </c>
      <c r="J11" t="s">
        <v>396</v>
      </c>
    </row>
    <row r="12" spans="2:38" x14ac:dyDescent="0.3">
      <c r="B12" t="s">
        <v>47</v>
      </c>
      <c r="D12" t="s">
        <v>481</v>
      </c>
      <c r="F12" t="s">
        <v>234</v>
      </c>
      <c r="H12" t="s">
        <v>431</v>
      </c>
      <c r="J12" t="s">
        <v>417</v>
      </c>
    </row>
    <row r="13" spans="2:38" x14ac:dyDescent="0.3">
      <c r="B13" t="s">
        <v>48</v>
      </c>
      <c r="D13" t="s">
        <v>482</v>
      </c>
      <c r="F13" t="s">
        <v>285</v>
      </c>
      <c r="H13" t="s">
        <v>432</v>
      </c>
      <c r="J13" t="s">
        <v>439</v>
      </c>
    </row>
    <row r="14" spans="2:38" x14ac:dyDescent="0.3">
      <c r="B14" t="s">
        <v>49</v>
      </c>
      <c r="D14" t="s">
        <v>483</v>
      </c>
      <c r="F14" t="s">
        <v>286</v>
      </c>
      <c r="H14" t="s">
        <v>432</v>
      </c>
      <c r="J14" t="s">
        <v>439</v>
      </c>
    </row>
    <row r="15" spans="2:38" x14ac:dyDescent="0.3">
      <c r="B15" t="s">
        <v>50</v>
      </c>
      <c r="D15" t="s">
        <v>484</v>
      </c>
      <c r="F15" t="s">
        <v>65</v>
      </c>
      <c r="H15" t="s">
        <v>430</v>
      </c>
      <c r="J15" t="s">
        <v>423</v>
      </c>
    </row>
    <row r="16" spans="2:38" x14ac:dyDescent="0.3">
      <c r="B16" t="s">
        <v>51</v>
      </c>
      <c r="D16" t="s">
        <v>485</v>
      </c>
      <c r="F16" t="s">
        <v>101</v>
      </c>
      <c r="H16" t="s">
        <v>431</v>
      </c>
      <c r="J16" t="s">
        <v>398</v>
      </c>
    </row>
    <row r="17" spans="6:10" x14ac:dyDescent="0.3">
      <c r="F17" t="s">
        <v>124</v>
      </c>
      <c r="H17" t="s">
        <v>431</v>
      </c>
      <c r="J17" t="s">
        <v>402</v>
      </c>
    </row>
    <row r="18" spans="6:10" x14ac:dyDescent="0.3">
      <c r="F18" t="s">
        <v>141</v>
      </c>
      <c r="H18" t="s">
        <v>431</v>
      </c>
      <c r="J18" t="s">
        <v>404</v>
      </c>
    </row>
    <row r="19" spans="6:10" x14ac:dyDescent="0.3">
      <c r="F19" t="s">
        <v>212</v>
      </c>
      <c r="H19" t="s">
        <v>431</v>
      </c>
      <c r="J19" t="s">
        <v>413</v>
      </c>
    </row>
    <row r="20" spans="6:10" x14ac:dyDescent="0.3">
      <c r="F20" t="s">
        <v>332</v>
      </c>
      <c r="H20" t="s">
        <v>433</v>
      </c>
      <c r="J20" t="s">
        <v>427</v>
      </c>
    </row>
    <row r="21" spans="6:10" x14ac:dyDescent="0.3">
      <c r="F21" t="s">
        <v>357</v>
      </c>
      <c r="H21" t="s">
        <v>433</v>
      </c>
      <c r="J21" t="s">
        <v>428</v>
      </c>
    </row>
    <row r="22" spans="6:10" x14ac:dyDescent="0.3">
      <c r="F22" t="s">
        <v>314</v>
      </c>
      <c r="H22" t="s">
        <v>432</v>
      </c>
      <c r="J22" t="s">
        <v>439</v>
      </c>
    </row>
    <row r="23" spans="6:10" x14ac:dyDescent="0.3">
      <c r="F23" t="s">
        <v>72</v>
      </c>
      <c r="H23" t="s">
        <v>430</v>
      </c>
      <c r="J23" t="s">
        <v>425</v>
      </c>
    </row>
    <row r="24" spans="6:10" x14ac:dyDescent="0.3">
      <c r="F24" t="s">
        <v>179</v>
      </c>
      <c r="H24" t="s">
        <v>431</v>
      </c>
      <c r="J24" t="s">
        <v>408</v>
      </c>
    </row>
    <row r="25" spans="6:10" x14ac:dyDescent="0.3">
      <c r="F25" t="s">
        <v>324</v>
      </c>
      <c r="H25" t="s">
        <v>433</v>
      </c>
      <c r="J25" t="s">
        <v>422</v>
      </c>
    </row>
    <row r="26" spans="6:10" x14ac:dyDescent="0.3">
      <c r="F26" t="s">
        <v>360</v>
      </c>
      <c r="H26" t="s">
        <v>433</v>
      </c>
      <c r="J26" t="s">
        <v>422</v>
      </c>
    </row>
    <row r="27" spans="6:10" x14ac:dyDescent="0.3">
      <c r="F27" t="s">
        <v>395</v>
      </c>
      <c r="H27" t="s">
        <v>433</v>
      </c>
      <c r="J27" t="s">
        <v>440</v>
      </c>
    </row>
    <row r="28" spans="6:10" x14ac:dyDescent="0.3">
      <c r="F28" t="s">
        <v>107</v>
      </c>
      <c r="H28" t="s">
        <v>431</v>
      </c>
      <c r="J28" t="s">
        <v>399</v>
      </c>
    </row>
    <row r="29" spans="6:10" x14ac:dyDescent="0.3">
      <c r="F29" t="s">
        <v>56</v>
      </c>
      <c r="H29" t="s">
        <v>430</v>
      </c>
      <c r="J29" t="s">
        <v>422</v>
      </c>
    </row>
    <row r="30" spans="6:10" x14ac:dyDescent="0.3">
      <c r="F30" t="s">
        <v>185</v>
      </c>
      <c r="H30" t="s">
        <v>431</v>
      </c>
      <c r="J30" t="s">
        <v>409</v>
      </c>
    </row>
    <row r="31" spans="6:10" x14ac:dyDescent="0.3">
      <c r="F31" t="s">
        <v>373</v>
      </c>
      <c r="H31" t="s">
        <v>433</v>
      </c>
      <c r="J31" t="s">
        <v>427</v>
      </c>
    </row>
    <row r="32" spans="6:10" x14ac:dyDescent="0.3">
      <c r="F32" t="s">
        <v>348</v>
      </c>
      <c r="H32" t="s">
        <v>433</v>
      </c>
      <c r="J32" t="s">
        <v>427</v>
      </c>
    </row>
    <row r="33" spans="6:10" x14ac:dyDescent="0.3">
      <c r="F33" t="s">
        <v>340</v>
      </c>
      <c r="H33" t="s">
        <v>433</v>
      </c>
      <c r="J33" t="s">
        <v>429</v>
      </c>
    </row>
    <row r="34" spans="6:10" x14ac:dyDescent="0.3">
      <c r="F34" t="s">
        <v>75</v>
      </c>
      <c r="H34" t="s">
        <v>430</v>
      </c>
      <c r="J34" t="s">
        <v>423</v>
      </c>
    </row>
    <row r="35" spans="6:10" x14ac:dyDescent="0.3">
      <c r="F35" t="s">
        <v>125</v>
      </c>
      <c r="H35" t="s">
        <v>431</v>
      </c>
      <c r="J35" t="s">
        <v>402</v>
      </c>
    </row>
    <row r="36" spans="6:10" x14ac:dyDescent="0.3">
      <c r="F36" t="s">
        <v>191</v>
      </c>
      <c r="H36" t="s">
        <v>431</v>
      </c>
      <c r="J36" t="s">
        <v>410</v>
      </c>
    </row>
    <row r="37" spans="6:10" x14ac:dyDescent="0.3">
      <c r="F37" t="s">
        <v>287</v>
      </c>
      <c r="H37" t="s">
        <v>432</v>
      </c>
      <c r="J37" t="s">
        <v>439</v>
      </c>
    </row>
    <row r="38" spans="6:10" x14ac:dyDescent="0.3">
      <c r="F38" t="s">
        <v>126</v>
      </c>
      <c r="H38" t="s">
        <v>431</v>
      </c>
      <c r="J38" t="s">
        <v>402</v>
      </c>
    </row>
    <row r="39" spans="6:10" x14ac:dyDescent="0.3">
      <c r="F39" t="s">
        <v>393</v>
      </c>
      <c r="H39" t="s">
        <v>433</v>
      </c>
      <c r="J39" t="s">
        <v>440</v>
      </c>
    </row>
    <row r="40" spans="6:10" x14ac:dyDescent="0.3">
      <c r="F40" t="s">
        <v>346</v>
      </c>
      <c r="H40" t="s">
        <v>433</v>
      </c>
      <c r="J40" t="s">
        <v>429</v>
      </c>
    </row>
    <row r="41" spans="6:10" x14ac:dyDescent="0.3">
      <c r="F41" t="s">
        <v>370</v>
      </c>
      <c r="H41" t="s">
        <v>433</v>
      </c>
      <c r="J41" t="s">
        <v>427</v>
      </c>
    </row>
    <row r="42" spans="6:10" x14ac:dyDescent="0.3">
      <c r="F42" t="s">
        <v>192</v>
      </c>
      <c r="H42" t="s">
        <v>431</v>
      </c>
      <c r="J42" t="s">
        <v>410</v>
      </c>
    </row>
    <row r="43" spans="6:10" x14ac:dyDescent="0.3">
      <c r="F43" t="s">
        <v>288</v>
      </c>
      <c r="H43" t="s">
        <v>432</v>
      </c>
      <c r="J43" t="s">
        <v>439</v>
      </c>
    </row>
    <row r="44" spans="6:10" x14ac:dyDescent="0.3">
      <c r="F44" t="s">
        <v>254</v>
      </c>
      <c r="H44" t="s">
        <v>431</v>
      </c>
      <c r="J44" t="s">
        <v>421</v>
      </c>
    </row>
    <row r="45" spans="6:10" x14ac:dyDescent="0.3">
      <c r="F45" t="s">
        <v>274</v>
      </c>
      <c r="H45" t="s">
        <v>431</v>
      </c>
      <c r="J45" t="s">
        <v>405</v>
      </c>
    </row>
    <row r="46" spans="6:10" x14ac:dyDescent="0.3">
      <c r="F46" t="s">
        <v>213</v>
      </c>
      <c r="H46" t="s">
        <v>431</v>
      </c>
      <c r="J46" t="s">
        <v>413</v>
      </c>
    </row>
    <row r="47" spans="6:10" x14ac:dyDescent="0.3">
      <c r="F47" t="s">
        <v>396</v>
      </c>
      <c r="H47" t="s">
        <v>434</v>
      </c>
      <c r="J47" t="s">
        <v>429</v>
      </c>
    </row>
    <row r="48" spans="6:10" x14ac:dyDescent="0.3">
      <c r="F48" t="s">
        <v>167</v>
      </c>
      <c r="H48" t="s">
        <v>431</v>
      </c>
      <c r="J48" t="s">
        <v>407</v>
      </c>
    </row>
    <row r="49" spans="6:10" x14ac:dyDescent="0.3">
      <c r="F49" t="s">
        <v>80</v>
      </c>
      <c r="H49" t="s">
        <v>430</v>
      </c>
      <c r="J49" t="s">
        <v>422</v>
      </c>
    </row>
    <row r="50" spans="6:10" x14ac:dyDescent="0.3">
      <c r="F50" t="s">
        <v>391</v>
      </c>
      <c r="H50" t="s">
        <v>433</v>
      </c>
      <c r="J50" t="s">
        <v>440</v>
      </c>
    </row>
    <row r="51" spans="6:10" x14ac:dyDescent="0.3">
      <c r="F51" t="s">
        <v>76</v>
      </c>
      <c r="H51" t="s">
        <v>430</v>
      </c>
      <c r="J51" t="s">
        <v>423</v>
      </c>
    </row>
    <row r="52" spans="6:10" x14ac:dyDescent="0.3">
      <c r="F52" t="s">
        <v>260</v>
      </c>
      <c r="H52" t="s">
        <v>431</v>
      </c>
      <c r="J52" t="s">
        <v>397</v>
      </c>
    </row>
    <row r="53" spans="6:10" x14ac:dyDescent="0.3">
      <c r="F53" t="s">
        <v>397</v>
      </c>
      <c r="H53" t="s">
        <v>434</v>
      </c>
      <c r="J53" t="s">
        <v>428</v>
      </c>
    </row>
    <row r="54" spans="6:10" x14ac:dyDescent="0.3">
      <c r="F54" t="s">
        <v>289</v>
      </c>
      <c r="H54" t="s">
        <v>432</v>
      </c>
      <c r="J54" t="s">
        <v>439</v>
      </c>
    </row>
    <row r="55" spans="6:10" x14ac:dyDescent="0.3">
      <c r="F55" t="s">
        <v>227</v>
      </c>
      <c r="H55" t="s">
        <v>431</v>
      </c>
      <c r="J55" t="s">
        <v>416</v>
      </c>
    </row>
    <row r="56" spans="6:10" x14ac:dyDescent="0.3">
      <c r="F56" t="s">
        <v>156</v>
      </c>
      <c r="H56" t="s">
        <v>431</v>
      </c>
      <c r="J56" t="s">
        <v>406</v>
      </c>
    </row>
    <row r="57" spans="6:10" x14ac:dyDescent="0.3">
      <c r="F57" t="s">
        <v>394</v>
      </c>
      <c r="H57" t="s">
        <v>433</v>
      </c>
      <c r="J57" t="s">
        <v>440</v>
      </c>
    </row>
    <row r="58" spans="6:10" x14ac:dyDescent="0.3">
      <c r="F58" t="s">
        <v>102</v>
      </c>
      <c r="H58" t="s">
        <v>431</v>
      </c>
      <c r="J58" t="s">
        <v>398</v>
      </c>
    </row>
    <row r="59" spans="6:10" x14ac:dyDescent="0.3">
      <c r="F59" t="s">
        <v>377</v>
      </c>
      <c r="H59" t="s">
        <v>433</v>
      </c>
      <c r="J59" t="s">
        <v>440</v>
      </c>
    </row>
    <row r="60" spans="6:10" x14ac:dyDescent="0.3">
      <c r="F60" t="s">
        <v>127</v>
      </c>
      <c r="H60" t="s">
        <v>431</v>
      </c>
      <c r="J60" t="s">
        <v>402</v>
      </c>
    </row>
    <row r="61" spans="6:10" x14ac:dyDescent="0.3">
      <c r="F61" t="s">
        <v>358</v>
      </c>
      <c r="H61" t="s">
        <v>433</v>
      </c>
      <c r="J61" t="s">
        <v>428</v>
      </c>
    </row>
    <row r="62" spans="6:10" x14ac:dyDescent="0.3">
      <c r="F62" t="s">
        <v>375</v>
      </c>
      <c r="H62" t="s">
        <v>433</v>
      </c>
      <c r="J62" t="s">
        <v>440</v>
      </c>
    </row>
    <row r="63" spans="6:10" x14ac:dyDescent="0.3">
      <c r="F63" t="s">
        <v>180</v>
      </c>
      <c r="H63" t="s">
        <v>431</v>
      </c>
      <c r="J63" t="s">
        <v>408</v>
      </c>
    </row>
    <row r="64" spans="6:10" x14ac:dyDescent="0.3">
      <c r="F64" t="s">
        <v>128</v>
      </c>
      <c r="H64" t="s">
        <v>431</v>
      </c>
      <c r="J64" t="s">
        <v>402</v>
      </c>
    </row>
    <row r="65" spans="6:10" x14ac:dyDescent="0.3">
      <c r="F65" t="s">
        <v>135</v>
      </c>
      <c r="H65" t="s">
        <v>431</v>
      </c>
      <c r="J65" t="s">
        <v>403</v>
      </c>
    </row>
    <row r="66" spans="6:10" x14ac:dyDescent="0.3">
      <c r="F66" t="s">
        <v>218</v>
      </c>
      <c r="H66" t="s">
        <v>431</v>
      </c>
      <c r="J66" t="s">
        <v>414</v>
      </c>
    </row>
    <row r="67" spans="6:10" x14ac:dyDescent="0.3">
      <c r="F67" t="s">
        <v>352</v>
      </c>
      <c r="H67" t="s">
        <v>433</v>
      </c>
      <c r="J67" t="s">
        <v>422</v>
      </c>
    </row>
    <row r="68" spans="6:10" x14ac:dyDescent="0.3">
      <c r="F68" t="s">
        <v>353</v>
      </c>
      <c r="H68" t="s">
        <v>433</v>
      </c>
      <c r="J68" t="s">
        <v>422</v>
      </c>
    </row>
    <row r="69" spans="6:10" x14ac:dyDescent="0.3">
      <c r="F69" t="s">
        <v>108</v>
      </c>
      <c r="H69" t="s">
        <v>431</v>
      </c>
      <c r="J69" t="s">
        <v>399</v>
      </c>
    </row>
    <row r="70" spans="6:10" x14ac:dyDescent="0.3">
      <c r="F70" t="s">
        <v>251</v>
      </c>
      <c r="H70" t="s">
        <v>431</v>
      </c>
      <c r="J70" t="s">
        <v>420</v>
      </c>
    </row>
    <row r="71" spans="6:10" x14ac:dyDescent="0.3">
      <c r="F71" t="s">
        <v>93</v>
      </c>
      <c r="H71" t="s">
        <v>431</v>
      </c>
      <c r="J71" t="s">
        <v>396</v>
      </c>
    </row>
    <row r="72" spans="6:10" x14ac:dyDescent="0.3">
      <c r="F72" t="s">
        <v>168</v>
      </c>
      <c r="H72" t="s">
        <v>431</v>
      </c>
      <c r="J72" t="s">
        <v>407</v>
      </c>
    </row>
    <row r="73" spans="6:10" x14ac:dyDescent="0.3">
      <c r="F73" t="s">
        <v>309</v>
      </c>
      <c r="H73" t="s">
        <v>432</v>
      </c>
      <c r="J73" t="s">
        <v>439</v>
      </c>
    </row>
    <row r="74" spans="6:10" x14ac:dyDescent="0.3">
      <c r="F74" t="s">
        <v>129</v>
      </c>
      <c r="H74" t="s">
        <v>431</v>
      </c>
      <c r="J74" t="s">
        <v>402</v>
      </c>
    </row>
    <row r="75" spans="6:10" x14ac:dyDescent="0.3">
      <c r="F75" t="s">
        <v>378</v>
      </c>
      <c r="H75" t="s">
        <v>433</v>
      </c>
      <c r="J75" t="s">
        <v>440</v>
      </c>
    </row>
    <row r="76" spans="6:10" x14ac:dyDescent="0.3">
      <c r="F76" t="s">
        <v>103</v>
      </c>
      <c r="H76" t="s">
        <v>431</v>
      </c>
      <c r="J76" t="s">
        <v>398</v>
      </c>
    </row>
    <row r="77" spans="6:10" x14ac:dyDescent="0.3">
      <c r="F77" t="s">
        <v>197</v>
      </c>
      <c r="H77" t="s">
        <v>431</v>
      </c>
      <c r="J77" t="s">
        <v>411</v>
      </c>
    </row>
    <row r="78" spans="6:10" x14ac:dyDescent="0.3">
      <c r="F78" t="s">
        <v>355</v>
      </c>
      <c r="H78" t="s">
        <v>433</v>
      </c>
      <c r="J78" t="s">
        <v>427</v>
      </c>
    </row>
    <row r="79" spans="6:10" x14ac:dyDescent="0.3">
      <c r="F79" t="s">
        <v>136</v>
      </c>
      <c r="H79" t="s">
        <v>431</v>
      </c>
      <c r="J79" t="s">
        <v>403</v>
      </c>
    </row>
    <row r="80" spans="6:10" x14ac:dyDescent="0.3">
      <c r="F80" t="s">
        <v>350</v>
      </c>
      <c r="H80" t="s">
        <v>433</v>
      </c>
      <c r="J80" t="s">
        <v>424</v>
      </c>
    </row>
    <row r="81" spans="6:10" x14ac:dyDescent="0.3">
      <c r="F81" t="s">
        <v>73</v>
      </c>
      <c r="H81" t="s">
        <v>430</v>
      </c>
      <c r="J81" t="s">
        <v>425</v>
      </c>
    </row>
    <row r="82" spans="6:10" x14ac:dyDescent="0.3">
      <c r="F82" t="s">
        <v>204</v>
      </c>
      <c r="H82" t="s">
        <v>431</v>
      </c>
      <c r="J82" t="s">
        <v>412</v>
      </c>
    </row>
    <row r="83" spans="6:10" x14ac:dyDescent="0.3">
      <c r="F83" t="s">
        <v>283</v>
      </c>
      <c r="H83" t="s">
        <v>431</v>
      </c>
      <c r="J83" t="s">
        <v>420</v>
      </c>
    </row>
    <row r="84" spans="6:10" x14ac:dyDescent="0.3">
      <c r="F84" t="s">
        <v>316</v>
      </c>
      <c r="H84" t="s">
        <v>432</v>
      </c>
      <c r="J84" t="s">
        <v>439</v>
      </c>
    </row>
    <row r="85" spans="6:10" x14ac:dyDescent="0.3">
      <c r="F85" t="s">
        <v>398</v>
      </c>
      <c r="H85" t="s">
        <v>434</v>
      </c>
      <c r="J85" t="s">
        <v>422</v>
      </c>
    </row>
    <row r="86" spans="6:10" x14ac:dyDescent="0.3">
      <c r="F86" t="s">
        <v>148</v>
      </c>
      <c r="H86" t="s">
        <v>431</v>
      </c>
      <c r="J86" t="s">
        <v>405</v>
      </c>
    </row>
    <row r="87" spans="6:10" x14ac:dyDescent="0.3">
      <c r="F87" t="s">
        <v>321</v>
      </c>
      <c r="H87" t="s">
        <v>433</v>
      </c>
      <c r="J87" t="s">
        <v>424</v>
      </c>
    </row>
    <row r="88" spans="6:10" x14ac:dyDescent="0.3">
      <c r="F88" t="s">
        <v>157</v>
      </c>
      <c r="H88" t="s">
        <v>431</v>
      </c>
      <c r="J88" t="s">
        <v>406</v>
      </c>
    </row>
    <row r="89" spans="6:10" x14ac:dyDescent="0.3">
      <c r="F89" t="s">
        <v>198</v>
      </c>
      <c r="H89" t="s">
        <v>431</v>
      </c>
      <c r="J89" t="s">
        <v>411</v>
      </c>
    </row>
    <row r="90" spans="6:10" x14ac:dyDescent="0.3">
      <c r="F90" t="s">
        <v>384</v>
      </c>
      <c r="H90" t="s">
        <v>433</v>
      </c>
      <c r="J90" t="s">
        <v>440</v>
      </c>
    </row>
    <row r="91" spans="6:10" x14ac:dyDescent="0.3">
      <c r="F91" t="s">
        <v>361</v>
      </c>
      <c r="H91" t="s">
        <v>433</v>
      </c>
      <c r="J91" t="s">
        <v>426</v>
      </c>
    </row>
    <row r="92" spans="6:10" x14ac:dyDescent="0.3">
      <c r="F92" t="s">
        <v>399</v>
      </c>
      <c r="H92" t="s">
        <v>434</v>
      </c>
      <c r="J92" t="s">
        <v>426</v>
      </c>
    </row>
    <row r="93" spans="6:10" x14ac:dyDescent="0.3">
      <c r="F93" t="s">
        <v>109</v>
      </c>
      <c r="H93" t="s">
        <v>431</v>
      </c>
      <c r="J93" t="s">
        <v>399</v>
      </c>
    </row>
    <row r="94" spans="6:10" x14ac:dyDescent="0.3">
      <c r="F94" t="s">
        <v>400</v>
      </c>
      <c r="H94" t="s">
        <v>434</v>
      </c>
      <c r="J94" t="s">
        <v>427</v>
      </c>
    </row>
    <row r="95" spans="6:10" x14ac:dyDescent="0.3">
      <c r="F95" t="s">
        <v>66</v>
      </c>
      <c r="H95" t="s">
        <v>430</v>
      </c>
      <c r="J95" t="s">
        <v>423</v>
      </c>
    </row>
    <row r="96" spans="6:10" x14ac:dyDescent="0.3">
      <c r="F96" t="s">
        <v>349</v>
      </c>
      <c r="H96" t="s">
        <v>433</v>
      </c>
      <c r="J96" t="s">
        <v>427</v>
      </c>
    </row>
    <row r="97" spans="6:10" x14ac:dyDescent="0.3">
      <c r="F97" t="s">
        <v>158</v>
      </c>
      <c r="H97" t="s">
        <v>431</v>
      </c>
      <c r="J97" t="s">
        <v>406</v>
      </c>
    </row>
    <row r="98" spans="6:10" x14ac:dyDescent="0.3">
      <c r="F98" t="s">
        <v>88</v>
      </c>
      <c r="H98" t="s">
        <v>430</v>
      </c>
      <c r="J98" t="s">
        <v>425</v>
      </c>
    </row>
    <row r="99" spans="6:10" x14ac:dyDescent="0.3">
      <c r="F99" t="s">
        <v>290</v>
      </c>
      <c r="H99" t="s">
        <v>432</v>
      </c>
      <c r="J99" t="s">
        <v>439</v>
      </c>
    </row>
    <row r="100" spans="6:10" x14ac:dyDescent="0.3">
      <c r="F100" t="s">
        <v>96</v>
      </c>
      <c r="H100" t="s">
        <v>431</v>
      </c>
      <c r="J100" t="s">
        <v>397</v>
      </c>
    </row>
    <row r="101" spans="6:10" x14ac:dyDescent="0.3">
      <c r="F101" t="s">
        <v>114</v>
      </c>
      <c r="H101" t="s">
        <v>431</v>
      </c>
      <c r="J101" t="s">
        <v>400</v>
      </c>
    </row>
    <row r="102" spans="6:10" x14ac:dyDescent="0.3">
      <c r="F102" t="s">
        <v>142</v>
      </c>
      <c r="H102" t="s">
        <v>431</v>
      </c>
      <c r="J102" t="s">
        <v>404</v>
      </c>
    </row>
    <row r="103" spans="6:10" x14ac:dyDescent="0.3">
      <c r="F103" t="s">
        <v>149</v>
      </c>
      <c r="H103" t="s">
        <v>431</v>
      </c>
      <c r="J103" t="s">
        <v>405</v>
      </c>
    </row>
    <row r="104" spans="6:10" x14ac:dyDescent="0.3">
      <c r="F104" t="s">
        <v>186</v>
      </c>
      <c r="H104" t="s">
        <v>431</v>
      </c>
      <c r="J104" t="s">
        <v>409</v>
      </c>
    </row>
    <row r="105" spans="6:10" x14ac:dyDescent="0.3">
      <c r="F105" t="s">
        <v>426</v>
      </c>
      <c r="H105" t="s">
        <v>435</v>
      </c>
      <c r="J105" t="s">
        <v>441</v>
      </c>
    </row>
    <row r="106" spans="6:10" x14ac:dyDescent="0.3">
      <c r="F106" t="s">
        <v>199</v>
      </c>
      <c r="H106" t="s">
        <v>431</v>
      </c>
      <c r="J106" t="s">
        <v>411</v>
      </c>
    </row>
    <row r="107" spans="6:10" x14ac:dyDescent="0.3">
      <c r="F107" t="s">
        <v>428</v>
      </c>
      <c r="H107" t="s">
        <v>435</v>
      </c>
      <c r="J107" t="s">
        <v>441</v>
      </c>
    </row>
    <row r="108" spans="6:10" x14ac:dyDescent="0.3">
      <c r="F108" t="s">
        <v>325</v>
      </c>
      <c r="H108" t="s">
        <v>433</v>
      </c>
      <c r="J108" t="s">
        <v>423</v>
      </c>
    </row>
    <row r="109" spans="6:10" x14ac:dyDescent="0.3">
      <c r="F109" t="s">
        <v>228</v>
      </c>
      <c r="H109" t="s">
        <v>431</v>
      </c>
      <c r="J109" t="s">
        <v>416</v>
      </c>
    </row>
    <row r="110" spans="6:10" x14ac:dyDescent="0.3">
      <c r="F110" t="s">
        <v>237</v>
      </c>
      <c r="H110" t="s">
        <v>431</v>
      </c>
      <c r="J110" t="s">
        <v>417</v>
      </c>
    </row>
    <row r="111" spans="6:10" x14ac:dyDescent="0.3">
      <c r="F111" t="s">
        <v>401</v>
      </c>
      <c r="H111" t="s">
        <v>434</v>
      </c>
      <c r="J111" t="s">
        <v>429</v>
      </c>
    </row>
    <row r="112" spans="6:10" x14ac:dyDescent="0.3">
      <c r="F112" t="s">
        <v>280</v>
      </c>
      <c r="H112" t="s">
        <v>431</v>
      </c>
      <c r="J112" t="s">
        <v>401</v>
      </c>
    </row>
    <row r="113" spans="6:10" x14ac:dyDescent="0.3">
      <c r="F113" t="s">
        <v>143</v>
      </c>
      <c r="H113" t="s">
        <v>431</v>
      </c>
      <c r="J113" t="s">
        <v>404</v>
      </c>
    </row>
    <row r="114" spans="6:10" x14ac:dyDescent="0.3">
      <c r="F114" t="s">
        <v>104</v>
      </c>
      <c r="H114" t="s">
        <v>431</v>
      </c>
      <c r="J114" t="s">
        <v>398</v>
      </c>
    </row>
    <row r="115" spans="6:10" x14ac:dyDescent="0.3">
      <c r="F115" t="s">
        <v>238</v>
      </c>
      <c r="H115" t="s">
        <v>431</v>
      </c>
      <c r="J115" t="s">
        <v>418</v>
      </c>
    </row>
    <row r="116" spans="6:10" x14ac:dyDescent="0.3">
      <c r="F116" t="s">
        <v>291</v>
      </c>
      <c r="H116" t="s">
        <v>432</v>
      </c>
      <c r="J116" t="s">
        <v>439</v>
      </c>
    </row>
    <row r="117" spans="6:10" x14ac:dyDescent="0.3">
      <c r="F117" t="s">
        <v>130</v>
      </c>
      <c r="H117" t="s">
        <v>431</v>
      </c>
      <c r="J117" t="s">
        <v>402</v>
      </c>
    </row>
    <row r="118" spans="6:10" x14ac:dyDescent="0.3">
      <c r="F118" t="s">
        <v>269</v>
      </c>
      <c r="H118" t="s">
        <v>431</v>
      </c>
      <c r="J118" t="s">
        <v>418</v>
      </c>
    </row>
    <row r="119" spans="6:10" x14ac:dyDescent="0.3">
      <c r="F119" t="s">
        <v>110</v>
      </c>
      <c r="H119" t="s">
        <v>431</v>
      </c>
      <c r="J119" t="s">
        <v>399</v>
      </c>
    </row>
    <row r="120" spans="6:10" x14ac:dyDescent="0.3">
      <c r="F120" t="s">
        <v>402</v>
      </c>
      <c r="H120" t="s">
        <v>434</v>
      </c>
      <c r="J120" t="s">
        <v>428</v>
      </c>
    </row>
    <row r="121" spans="6:10" x14ac:dyDescent="0.3">
      <c r="F121" t="s">
        <v>277</v>
      </c>
      <c r="H121" t="s">
        <v>431</v>
      </c>
      <c r="J121" t="s">
        <v>400</v>
      </c>
    </row>
    <row r="122" spans="6:10" x14ac:dyDescent="0.3">
      <c r="F122" t="s">
        <v>262</v>
      </c>
      <c r="H122" t="s">
        <v>431</v>
      </c>
      <c r="J122" t="s">
        <v>404</v>
      </c>
    </row>
    <row r="123" spans="6:10" x14ac:dyDescent="0.3">
      <c r="F123" t="s">
        <v>97</v>
      </c>
      <c r="H123" t="s">
        <v>431</v>
      </c>
      <c r="J123" t="s">
        <v>397</v>
      </c>
    </row>
    <row r="124" spans="6:10" x14ac:dyDescent="0.3">
      <c r="F124" t="s">
        <v>389</v>
      </c>
      <c r="H124" t="s">
        <v>433</v>
      </c>
      <c r="J124" t="s">
        <v>440</v>
      </c>
    </row>
    <row r="125" spans="6:10" x14ac:dyDescent="0.3">
      <c r="F125" t="s">
        <v>162</v>
      </c>
      <c r="H125" t="s">
        <v>431</v>
      </c>
      <c r="J125" t="s">
        <v>406</v>
      </c>
    </row>
    <row r="126" spans="6:10" x14ac:dyDescent="0.3">
      <c r="F126" t="s">
        <v>137</v>
      </c>
      <c r="H126" t="s">
        <v>431</v>
      </c>
      <c r="J126" t="s">
        <v>403</v>
      </c>
    </row>
    <row r="127" spans="6:10" x14ac:dyDescent="0.3">
      <c r="F127" t="s">
        <v>169</v>
      </c>
      <c r="H127" t="s">
        <v>431</v>
      </c>
      <c r="J127" t="s">
        <v>407</v>
      </c>
    </row>
    <row r="128" spans="6:10" x14ac:dyDescent="0.3">
      <c r="F128" t="s">
        <v>69</v>
      </c>
      <c r="H128" t="s">
        <v>430</v>
      </c>
      <c r="J128" t="s">
        <v>424</v>
      </c>
    </row>
    <row r="129" spans="6:10" x14ac:dyDescent="0.3">
      <c r="F129" t="s">
        <v>214</v>
      </c>
      <c r="H129" t="s">
        <v>431</v>
      </c>
      <c r="J129" t="s">
        <v>413</v>
      </c>
    </row>
    <row r="130" spans="6:10" x14ac:dyDescent="0.3">
      <c r="F130" t="s">
        <v>138</v>
      </c>
      <c r="H130" t="s">
        <v>431</v>
      </c>
      <c r="J130" t="s">
        <v>403</v>
      </c>
    </row>
    <row r="131" spans="6:10" x14ac:dyDescent="0.3">
      <c r="F131" t="s">
        <v>403</v>
      </c>
      <c r="H131" t="s">
        <v>434</v>
      </c>
      <c r="J131" t="s">
        <v>427</v>
      </c>
    </row>
    <row r="132" spans="6:10" x14ac:dyDescent="0.3">
      <c r="F132" t="s">
        <v>263</v>
      </c>
      <c r="H132" t="s">
        <v>431</v>
      </c>
      <c r="J132" t="s">
        <v>404</v>
      </c>
    </row>
    <row r="133" spans="6:10" x14ac:dyDescent="0.3">
      <c r="F133" t="s">
        <v>159</v>
      </c>
      <c r="H133" t="s">
        <v>431</v>
      </c>
      <c r="J133" t="s">
        <v>406</v>
      </c>
    </row>
    <row r="134" spans="6:10" x14ac:dyDescent="0.3">
      <c r="F134" t="s">
        <v>193</v>
      </c>
      <c r="H134" t="s">
        <v>431</v>
      </c>
      <c r="J134" t="s">
        <v>410</v>
      </c>
    </row>
    <row r="135" spans="6:10" x14ac:dyDescent="0.3">
      <c r="F135" t="s">
        <v>292</v>
      </c>
      <c r="H135" t="s">
        <v>432</v>
      </c>
      <c r="J135" t="s">
        <v>439</v>
      </c>
    </row>
    <row r="136" spans="6:10" x14ac:dyDescent="0.3">
      <c r="F136" t="s">
        <v>239</v>
      </c>
      <c r="H136" t="s">
        <v>431</v>
      </c>
      <c r="J136" t="s">
        <v>418</v>
      </c>
    </row>
    <row r="137" spans="6:10" x14ac:dyDescent="0.3">
      <c r="F137" t="s">
        <v>376</v>
      </c>
      <c r="H137" t="s">
        <v>433</v>
      </c>
      <c r="J137" t="s">
        <v>440</v>
      </c>
    </row>
    <row r="138" spans="6:10" x14ac:dyDescent="0.3">
      <c r="F138" t="s">
        <v>311</v>
      </c>
      <c r="H138" t="s">
        <v>432</v>
      </c>
      <c r="J138" t="s">
        <v>439</v>
      </c>
    </row>
    <row r="139" spans="6:10" x14ac:dyDescent="0.3">
      <c r="F139" t="s">
        <v>322</v>
      </c>
      <c r="H139" t="s">
        <v>433</v>
      </c>
      <c r="J139" t="s">
        <v>422</v>
      </c>
    </row>
    <row r="140" spans="6:10" x14ac:dyDescent="0.3">
      <c r="F140" t="s">
        <v>205</v>
      </c>
      <c r="H140" t="s">
        <v>431</v>
      </c>
      <c r="J140" t="s">
        <v>412</v>
      </c>
    </row>
    <row r="141" spans="6:10" x14ac:dyDescent="0.3">
      <c r="F141" t="s">
        <v>293</v>
      </c>
      <c r="H141" t="s">
        <v>432</v>
      </c>
      <c r="J141" t="s">
        <v>439</v>
      </c>
    </row>
    <row r="142" spans="6:10" x14ac:dyDescent="0.3">
      <c r="F142" t="s">
        <v>404</v>
      </c>
      <c r="H142" t="s">
        <v>434</v>
      </c>
      <c r="J142" t="s">
        <v>429</v>
      </c>
    </row>
    <row r="143" spans="6:10" x14ac:dyDescent="0.3">
      <c r="F143" t="s">
        <v>181</v>
      </c>
      <c r="H143" t="s">
        <v>431</v>
      </c>
      <c r="J143" t="s">
        <v>408</v>
      </c>
    </row>
    <row r="144" spans="6:10" x14ac:dyDescent="0.3">
      <c r="F144" t="s">
        <v>294</v>
      </c>
      <c r="H144" t="s">
        <v>432</v>
      </c>
      <c r="J144" t="s">
        <v>439</v>
      </c>
    </row>
    <row r="145" spans="6:10" x14ac:dyDescent="0.3">
      <c r="F145" t="s">
        <v>261</v>
      </c>
      <c r="H145" t="s">
        <v>431</v>
      </c>
      <c r="J145" t="s">
        <v>402</v>
      </c>
    </row>
    <row r="146" spans="6:10" x14ac:dyDescent="0.3">
      <c r="F146" t="s">
        <v>206</v>
      </c>
      <c r="H146" t="s">
        <v>431</v>
      </c>
      <c r="J146" t="s">
        <v>412</v>
      </c>
    </row>
    <row r="147" spans="6:10" x14ac:dyDescent="0.3">
      <c r="F147" t="s">
        <v>295</v>
      </c>
      <c r="H147" t="s">
        <v>432</v>
      </c>
      <c r="J147" t="s">
        <v>439</v>
      </c>
    </row>
    <row r="148" spans="6:10" x14ac:dyDescent="0.3">
      <c r="F148" t="s">
        <v>144</v>
      </c>
      <c r="H148" t="s">
        <v>431</v>
      </c>
      <c r="J148" t="s">
        <v>404</v>
      </c>
    </row>
    <row r="149" spans="6:10" x14ac:dyDescent="0.3">
      <c r="F149" t="s">
        <v>317</v>
      </c>
      <c r="H149" t="s">
        <v>433</v>
      </c>
      <c r="J149" t="s">
        <v>424</v>
      </c>
    </row>
    <row r="150" spans="6:10" x14ac:dyDescent="0.3">
      <c r="F150" t="s">
        <v>279</v>
      </c>
      <c r="H150" t="s">
        <v>431</v>
      </c>
      <c r="J150" t="s">
        <v>401</v>
      </c>
    </row>
    <row r="151" spans="6:10" x14ac:dyDescent="0.3">
      <c r="F151" t="s">
        <v>264</v>
      </c>
      <c r="H151" t="s">
        <v>431</v>
      </c>
      <c r="J151" t="s">
        <v>404</v>
      </c>
    </row>
    <row r="152" spans="6:10" x14ac:dyDescent="0.3">
      <c r="F152" t="s">
        <v>296</v>
      </c>
      <c r="H152" t="s">
        <v>432</v>
      </c>
      <c r="J152" t="s">
        <v>439</v>
      </c>
    </row>
    <row r="153" spans="6:10" x14ac:dyDescent="0.3">
      <c r="F153" t="s">
        <v>330</v>
      </c>
      <c r="H153" t="s">
        <v>433</v>
      </c>
      <c r="J153" t="s">
        <v>425</v>
      </c>
    </row>
    <row r="154" spans="6:10" x14ac:dyDescent="0.3">
      <c r="F154" t="s">
        <v>405</v>
      </c>
      <c r="H154" t="s">
        <v>434</v>
      </c>
      <c r="J154" t="s">
        <v>428</v>
      </c>
    </row>
    <row r="155" spans="6:10" x14ac:dyDescent="0.3">
      <c r="F155" t="s">
        <v>150</v>
      </c>
      <c r="H155" t="s">
        <v>431</v>
      </c>
      <c r="J155" t="s">
        <v>405</v>
      </c>
    </row>
    <row r="156" spans="6:10" x14ac:dyDescent="0.3">
      <c r="F156" t="s">
        <v>111</v>
      </c>
      <c r="H156" t="s">
        <v>431</v>
      </c>
      <c r="J156" t="s">
        <v>399</v>
      </c>
    </row>
    <row r="157" spans="6:10" x14ac:dyDescent="0.3">
      <c r="F157" t="s">
        <v>297</v>
      </c>
      <c r="H157" t="s">
        <v>432</v>
      </c>
      <c r="J157" t="s">
        <v>439</v>
      </c>
    </row>
    <row r="158" spans="6:10" x14ac:dyDescent="0.3">
      <c r="F158" t="s">
        <v>182</v>
      </c>
      <c r="H158" t="s">
        <v>431</v>
      </c>
      <c r="J158" t="s">
        <v>408</v>
      </c>
    </row>
    <row r="159" spans="6:10" x14ac:dyDescent="0.3">
      <c r="F159" t="s">
        <v>252</v>
      </c>
      <c r="H159" t="s">
        <v>431</v>
      </c>
      <c r="J159" t="s">
        <v>420</v>
      </c>
    </row>
    <row r="160" spans="6:10" x14ac:dyDescent="0.3">
      <c r="F160" t="s">
        <v>298</v>
      </c>
      <c r="H160" t="s">
        <v>432</v>
      </c>
      <c r="J160" t="s">
        <v>439</v>
      </c>
    </row>
    <row r="161" spans="6:10" x14ac:dyDescent="0.3">
      <c r="F161" t="s">
        <v>98</v>
      </c>
      <c r="H161" t="s">
        <v>431</v>
      </c>
      <c r="J161" t="s">
        <v>397</v>
      </c>
    </row>
    <row r="162" spans="6:10" x14ac:dyDescent="0.3">
      <c r="F162" t="s">
        <v>170</v>
      </c>
      <c r="H162" t="s">
        <v>431</v>
      </c>
      <c r="J162" t="s">
        <v>407</v>
      </c>
    </row>
    <row r="163" spans="6:10" x14ac:dyDescent="0.3">
      <c r="F163" t="s">
        <v>268</v>
      </c>
      <c r="H163" t="s">
        <v>431</v>
      </c>
      <c r="J163" t="s">
        <v>417</v>
      </c>
    </row>
    <row r="164" spans="6:10" x14ac:dyDescent="0.3">
      <c r="F164" t="s">
        <v>379</v>
      </c>
      <c r="H164" t="s">
        <v>433</v>
      </c>
      <c r="J164" t="s">
        <v>440</v>
      </c>
    </row>
    <row r="165" spans="6:10" x14ac:dyDescent="0.3">
      <c r="F165" t="s">
        <v>347</v>
      </c>
      <c r="H165" t="s">
        <v>433</v>
      </c>
      <c r="J165" t="s">
        <v>429</v>
      </c>
    </row>
    <row r="166" spans="6:10" x14ac:dyDescent="0.3">
      <c r="F166" t="s">
        <v>359</v>
      </c>
      <c r="H166" t="s">
        <v>433</v>
      </c>
      <c r="J166" t="s">
        <v>427</v>
      </c>
    </row>
    <row r="167" spans="6:10" x14ac:dyDescent="0.3">
      <c r="F167" t="s">
        <v>299</v>
      </c>
      <c r="H167" t="s">
        <v>432</v>
      </c>
      <c r="J167" t="s">
        <v>439</v>
      </c>
    </row>
    <row r="168" spans="6:10" x14ac:dyDescent="0.3">
      <c r="F168" t="s">
        <v>312</v>
      </c>
      <c r="H168" t="s">
        <v>432</v>
      </c>
      <c r="J168" t="s">
        <v>439</v>
      </c>
    </row>
    <row r="169" spans="6:10" x14ac:dyDescent="0.3">
      <c r="F169" t="s">
        <v>406</v>
      </c>
      <c r="H169" t="s">
        <v>434</v>
      </c>
      <c r="J169" t="s">
        <v>429</v>
      </c>
    </row>
    <row r="170" spans="6:10" x14ac:dyDescent="0.3">
      <c r="F170" t="s">
        <v>200</v>
      </c>
      <c r="H170" t="s">
        <v>431</v>
      </c>
      <c r="J170" t="s">
        <v>411</v>
      </c>
    </row>
    <row r="171" spans="6:10" x14ac:dyDescent="0.3">
      <c r="F171" t="s">
        <v>194</v>
      </c>
      <c r="H171" t="s">
        <v>431</v>
      </c>
      <c r="J171" t="s">
        <v>410</v>
      </c>
    </row>
    <row r="172" spans="6:10" x14ac:dyDescent="0.3">
      <c r="F172" t="s">
        <v>371</v>
      </c>
      <c r="H172" t="s">
        <v>433</v>
      </c>
      <c r="J172" t="s">
        <v>423</v>
      </c>
    </row>
    <row r="173" spans="6:10" x14ac:dyDescent="0.3">
      <c r="F173" t="s">
        <v>300</v>
      </c>
      <c r="H173" t="s">
        <v>432</v>
      </c>
      <c r="J173" t="s">
        <v>439</v>
      </c>
    </row>
    <row r="174" spans="6:10" x14ac:dyDescent="0.3">
      <c r="F174" t="s">
        <v>77</v>
      </c>
      <c r="H174" t="s">
        <v>430</v>
      </c>
      <c r="J174" t="s">
        <v>423</v>
      </c>
    </row>
    <row r="175" spans="6:10" x14ac:dyDescent="0.3">
      <c r="F175" t="s">
        <v>62</v>
      </c>
      <c r="H175" t="s">
        <v>430</v>
      </c>
      <c r="J175" t="s">
        <v>422</v>
      </c>
    </row>
    <row r="176" spans="6:10" x14ac:dyDescent="0.3">
      <c r="F176" t="s">
        <v>301</v>
      </c>
      <c r="H176" t="s">
        <v>432</v>
      </c>
      <c r="J176" t="s">
        <v>439</v>
      </c>
    </row>
    <row r="177" spans="6:10" x14ac:dyDescent="0.3">
      <c r="F177" t="s">
        <v>407</v>
      </c>
      <c r="H177" t="s">
        <v>434</v>
      </c>
      <c r="J177" t="s">
        <v>422</v>
      </c>
    </row>
    <row r="178" spans="6:10" x14ac:dyDescent="0.3">
      <c r="F178" t="s">
        <v>171</v>
      </c>
      <c r="H178" t="s">
        <v>431</v>
      </c>
      <c r="J178" t="s">
        <v>407</v>
      </c>
    </row>
    <row r="179" spans="6:10" x14ac:dyDescent="0.3">
      <c r="F179" t="s">
        <v>78</v>
      </c>
      <c r="H179" t="s">
        <v>430</v>
      </c>
      <c r="J179" t="s">
        <v>423</v>
      </c>
    </row>
    <row r="180" spans="6:10" x14ac:dyDescent="0.3">
      <c r="F180" t="s">
        <v>369</v>
      </c>
      <c r="H180" t="s">
        <v>433</v>
      </c>
      <c r="J180" t="s">
        <v>426</v>
      </c>
    </row>
    <row r="181" spans="6:10" x14ac:dyDescent="0.3">
      <c r="F181" t="s">
        <v>408</v>
      </c>
      <c r="H181" t="s">
        <v>434</v>
      </c>
      <c r="J181" t="s">
        <v>426</v>
      </c>
    </row>
    <row r="182" spans="6:10" x14ac:dyDescent="0.3">
      <c r="F182" t="s">
        <v>121</v>
      </c>
      <c r="H182" t="s">
        <v>431</v>
      </c>
      <c r="J182" t="s">
        <v>401</v>
      </c>
    </row>
    <row r="183" spans="6:10" x14ac:dyDescent="0.3">
      <c r="F183" t="s">
        <v>302</v>
      </c>
      <c r="H183" t="s">
        <v>432</v>
      </c>
      <c r="J183" t="s">
        <v>439</v>
      </c>
    </row>
    <row r="184" spans="6:10" x14ac:dyDescent="0.3">
      <c r="F184" t="s">
        <v>229</v>
      </c>
      <c r="H184" t="s">
        <v>431</v>
      </c>
      <c r="J184" t="s">
        <v>416</v>
      </c>
    </row>
    <row r="185" spans="6:10" x14ac:dyDescent="0.3">
      <c r="F185" t="s">
        <v>275</v>
      </c>
      <c r="H185" t="s">
        <v>431</v>
      </c>
      <c r="J185" t="s">
        <v>409</v>
      </c>
    </row>
    <row r="186" spans="6:10" x14ac:dyDescent="0.3">
      <c r="F186" t="s">
        <v>409</v>
      </c>
      <c r="H186" t="s">
        <v>434</v>
      </c>
      <c r="J186" t="s">
        <v>426</v>
      </c>
    </row>
    <row r="187" spans="6:10" x14ac:dyDescent="0.3">
      <c r="F187" t="s">
        <v>84</v>
      </c>
      <c r="H187" t="s">
        <v>430</v>
      </c>
      <c r="J187" t="s">
        <v>422</v>
      </c>
    </row>
    <row r="188" spans="6:10" x14ac:dyDescent="0.3">
      <c r="F188" t="s">
        <v>363</v>
      </c>
      <c r="H188" t="s">
        <v>433</v>
      </c>
      <c r="J188" t="s">
        <v>428</v>
      </c>
    </row>
    <row r="189" spans="6:10" x14ac:dyDescent="0.3">
      <c r="F189" t="s">
        <v>160</v>
      </c>
      <c r="H189" t="s">
        <v>431</v>
      </c>
      <c r="J189" t="s">
        <v>406</v>
      </c>
    </row>
    <row r="190" spans="6:10" x14ac:dyDescent="0.3">
      <c r="F190" t="s">
        <v>131</v>
      </c>
      <c r="H190" t="s">
        <v>431</v>
      </c>
      <c r="J190" t="s">
        <v>402</v>
      </c>
    </row>
    <row r="191" spans="6:10" x14ac:dyDescent="0.3">
      <c r="F191" t="s">
        <v>255</v>
      </c>
      <c r="H191" t="s">
        <v>431</v>
      </c>
      <c r="J191" t="s">
        <v>421</v>
      </c>
    </row>
    <row r="192" spans="6:10" x14ac:dyDescent="0.3">
      <c r="F192" t="s">
        <v>57</v>
      </c>
      <c r="H192" t="s">
        <v>430</v>
      </c>
      <c r="J192" t="s">
        <v>422</v>
      </c>
    </row>
    <row r="193" spans="6:10" x14ac:dyDescent="0.3">
      <c r="F193" t="s">
        <v>215</v>
      </c>
      <c r="H193" t="s">
        <v>431</v>
      </c>
      <c r="J193" t="s">
        <v>413</v>
      </c>
    </row>
    <row r="194" spans="6:10" x14ac:dyDescent="0.3">
      <c r="F194" t="s">
        <v>339</v>
      </c>
      <c r="H194" t="s">
        <v>433</v>
      </c>
      <c r="J194" t="s">
        <v>429</v>
      </c>
    </row>
    <row r="195" spans="6:10" x14ac:dyDescent="0.3">
      <c r="F195" t="s">
        <v>183</v>
      </c>
      <c r="H195" t="s">
        <v>431</v>
      </c>
      <c r="J195" t="s">
        <v>408</v>
      </c>
    </row>
    <row r="196" spans="6:10" x14ac:dyDescent="0.3">
      <c r="F196" t="s">
        <v>223</v>
      </c>
      <c r="H196" t="s">
        <v>431</v>
      </c>
      <c r="J196" t="s">
        <v>415</v>
      </c>
    </row>
    <row r="197" spans="6:10" x14ac:dyDescent="0.3">
      <c r="F197" t="s">
        <v>390</v>
      </c>
      <c r="H197" t="s">
        <v>433</v>
      </c>
      <c r="J197" t="s">
        <v>440</v>
      </c>
    </row>
    <row r="198" spans="6:10" x14ac:dyDescent="0.3">
      <c r="F198" t="s">
        <v>303</v>
      </c>
      <c r="H198" t="s">
        <v>432</v>
      </c>
      <c r="J198" t="s">
        <v>439</v>
      </c>
    </row>
    <row r="199" spans="6:10" x14ac:dyDescent="0.3">
      <c r="F199" t="s">
        <v>115</v>
      </c>
      <c r="H199" t="s">
        <v>431</v>
      </c>
      <c r="J199" t="s">
        <v>400</v>
      </c>
    </row>
    <row r="200" spans="6:10" x14ac:dyDescent="0.3">
      <c r="F200" t="s">
        <v>236</v>
      </c>
      <c r="H200" t="s">
        <v>431</v>
      </c>
      <c r="J200" t="s">
        <v>417</v>
      </c>
    </row>
    <row r="201" spans="6:10" x14ac:dyDescent="0.3">
      <c r="F201" t="s">
        <v>253</v>
      </c>
      <c r="H201" t="s">
        <v>431</v>
      </c>
      <c r="J201" t="s">
        <v>420</v>
      </c>
    </row>
    <row r="202" spans="6:10" x14ac:dyDescent="0.3">
      <c r="F202" t="s">
        <v>318</v>
      </c>
      <c r="H202" t="s">
        <v>433</v>
      </c>
      <c r="J202" t="s">
        <v>424</v>
      </c>
    </row>
    <row r="203" spans="6:10" x14ac:dyDescent="0.3">
      <c r="F203" t="s">
        <v>345</v>
      </c>
      <c r="H203" t="s">
        <v>433</v>
      </c>
      <c r="J203" t="s">
        <v>429</v>
      </c>
    </row>
    <row r="204" spans="6:10" x14ac:dyDescent="0.3">
      <c r="F204" t="s">
        <v>240</v>
      </c>
      <c r="H204" t="s">
        <v>431</v>
      </c>
      <c r="J204" t="s">
        <v>418</v>
      </c>
    </row>
    <row r="205" spans="6:10" x14ac:dyDescent="0.3">
      <c r="F205" t="s">
        <v>381</v>
      </c>
      <c r="H205" t="s">
        <v>433</v>
      </c>
      <c r="J205" t="s">
        <v>440</v>
      </c>
    </row>
    <row r="206" spans="6:10" x14ac:dyDescent="0.3">
      <c r="F206" t="s">
        <v>386</v>
      </c>
      <c r="H206" t="s">
        <v>433</v>
      </c>
      <c r="J206" t="s">
        <v>440</v>
      </c>
    </row>
    <row r="207" spans="6:10" x14ac:dyDescent="0.3">
      <c r="F207" t="s">
        <v>145</v>
      </c>
      <c r="H207" t="s">
        <v>431</v>
      </c>
      <c r="J207" t="s">
        <v>404</v>
      </c>
    </row>
    <row r="208" spans="6:10" x14ac:dyDescent="0.3">
      <c r="F208" t="s">
        <v>216</v>
      </c>
      <c r="H208" t="s">
        <v>431</v>
      </c>
      <c r="J208" t="s">
        <v>413</v>
      </c>
    </row>
    <row r="209" spans="6:10" x14ac:dyDescent="0.3">
      <c r="F209" t="s">
        <v>70</v>
      </c>
      <c r="H209" t="s">
        <v>430</v>
      </c>
      <c r="J209" t="s">
        <v>424</v>
      </c>
    </row>
    <row r="210" spans="6:10" x14ac:dyDescent="0.3">
      <c r="F210" t="s">
        <v>230</v>
      </c>
      <c r="H210" t="s">
        <v>431</v>
      </c>
      <c r="J210" t="s">
        <v>416</v>
      </c>
    </row>
    <row r="211" spans="6:10" x14ac:dyDescent="0.3">
      <c r="F211" t="s">
        <v>304</v>
      </c>
      <c r="H211" t="s">
        <v>432</v>
      </c>
      <c r="J211" t="s">
        <v>439</v>
      </c>
    </row>
    <row r="212" spans="6:10" x14ac:dyDescent="0.3">
      <c r="F212" t="s">
        <v>388</v>
      </c>
      <c r="H212" t="s">
        <v>433</v>
      </c>
      <c r="J212" t="s">
        <v>440</v>
      </c>
    </row>
    <row r="213" spans="6:10" x14ac:dyDescent="0.3">
      <c r="F213" t="s">
        <v>410</v>
      </c>
      <c r="H213" t="s">
        <v>434</v>
      </c>
      <c r="J213" t="s">
        <v>428</v>
      </c>
    </row>
    <row r="214" spans="6:10" x14ac:dyDescent="0.3">
      <c r="F214" t="s">
        <v>116</v>
      </c>
      <c r="H214" t="s">
        <v>431</v>
      </c>
      <c r="J214" t="s">
        <v>400</v>
      </c>
    </row>
    <row r="215" spans="6:10" x14ac:dyDescent="0.3">
      <c r="F215" t="s">
        <v>424</v>
      </c>
      <c r="H215" t="s">
        <v>435</v>
      </c>
      <c r="J215" t="s">
        <v>441</v>
      </c>
    </row>
    <row r="216" spans="6:10" x14ac:dyDescent="0.3">
      <c r="F216" t="s">
        <v>112</v>
      </c>
      <c r="H216" t="s">
        <v>431</v>
      </c>
      <c r="J216" t="s">
        <v>399</v>
      </c>
    </row>
    <row r="217" spans="6:10" x14ac:dyDescent="0.3">
      <c r="F217" t="s">
        <v>326</v>
      </c>
      <c r="H217" t="s">
        <v>433</v>
      </c>
      <c r="J217" t="s">
        <v>423</v>
      </c>
    </row>
    <row r="218" spans="6:10" x14ac:dyDescent="0.3">
      <c r="F218" t="s">
        <v>151</v>
      </c>
      <c r="H218" t="s">
        <v>431</v>
      </c>
      <c r="J218" t="s">
        <v>405</v>
      </c>
    </row>
    <row r="219" spans="6:10" x14ac:dyDescent="0.3">
      <c r="F219" t="s">
        <v>187</v>
      </c>
      <c r="H219" t="s">
        <v>431</v>
      </c>
      <c r="J219" t="s">
        <v>409</v>
      </c>
    </row>
    <row r="220" spans="6:10" x14ac:dyDescent="0.3">
      <c r="F220" t="s">
        <v>327</v>
      </c>
      <c r="H220" t="s">
        <v>433</v>
      </c>
      <c r="J220" t="s">
        <v>423</v>
      </c>
    </row>
    <row r="221" spans="6:10" x14ac:dyDescent="0.3">
      <c r="F221" t="s">
        <v>195</v>
      </c>
      <c r="H221" t="s">
        <v>431</v>
      </c>
      <c r="J221" t="s">
        <v>410</v>
      </c>
    </row>
    <row r="222" spans="6:10" x14ac:dyDescent="0.3">
      <c r="F222" t="s">
        <v>333</v>
      </c>
      <c r="H222" t="s">
        <v>433</v>
      </c>
      <c r="J222" t="s">
        <v>427</v>
      </c>
    </row>
    <row r="223" spans="6:10" x14ac:dyDescent="0.3">
      <c r="F223" t="s">
        <v>86</v>
      </c>
      <c r="H223" t="s">
        <v>430</v>
      </c>
      <c r="J223" t="s">
        <v>424</v>
      </c>
    </row>
    <row r="224" spans="6:10" x14ac:dyDescent="0.3">
      <c r="F224" t="s">
        <v>245</v>
      </c>
      <c r="H224" t="s">
        <v>431</v>
      </c>
      <c r="J224" t="s">
        <v>419</v>
      </c>
    </row>
    <row r="225" spans="6:10" x14ac:dyDescent="0.3">
      <c r="F225" t="s">
        <v>422</v>
      </c>
      <c r="H225" t="s">
        <v>435</v>
      </c>
      <c r="J225" t="s">
        <v>441</v>
      </c>
    </row>
    <row r="226" spans="6:10" x14ac:dyDescent="0.3">
      <c r="F226" t="s">
        <v>184</v>
      </c>
      <c r="H226" t="s">
        <v>431</v>
      </c>
      <c r="J226" t="s">
        <v>408</v>
      </c>
    </row>
    <row r="227" spans="6:10" x14ac:dyDescent="0.3">
      <c r="F227" t="s">
        <v>412</v>
      </c>
      <c r="H227" t="s">
        <v>434</v>
      </c>
      <c r="J227" t="s">
        <v>423</v>
      </c>
    </row>
    <row r="228" spans="6:10" x14ac:dyDescent="0.3">
      <c r="F228" t="s">
        <v>201</v>
      </c>
      <c r="H228" t="s">
        <v>431</v>
      </c>
      <c r="J228" t="s">
        <v>411</v>
      </c>
    </row>
    <row r="229" spans="6:10" x14ac:dyDescent="0.3">
      <c r="F229" t="s">
        <v>411</v>
      </c>
      <c r="H229" t="s">
        <v>434</v>
      </c>
      <c r="J229" t="s">
        <v>426</v>
      </c>
    </row>
    <row r="230" spans="6:10" x14ac:dyDescent="0.3">
      <c r="F230" t="s">
        <v>351</v>
      </c>
      <c r="H230" t="s">
        <v>433</v>
      </c>
      <c r="J230" t="s">
        <v>424</v>
      </c>
    </row>
    <row r="231" spans="6:10" x14ac:dyDescent="0.3">
      <c r="F231" t="s">
        <v>282</v>
      </c>
      <c r="H231" t="s">
        <v>431</v>
      </c>
      <c r="J231" t="s">
        <v>410</v>
      </c>
    </row>
    <row r="232" spans="6:10" x14ac:dyDescent="0.3">
      <c r="F232" t="s">
        <v>372</v>
      </c>
      <c r="H232" t="s">
        <v>433</v>
      </c>
      <c r="J232" t="s">
        <v>426</v>
      </c>
    </row>
    <row r="233" spans="6:10" x14ac:dyDescent="0.3">
      <c r="F233" t="s">
        <v>413</v>
      </c>
      <c r="H233" t="s">
        <v>434</v>
      </c>
      <c r="J233" t="s">
        <v>426</v>
      </c>
    </row>
    <row r="234" spans="6:10" x14ac:dyDescent="0.3">
      <c r="F234" t="s">
        <v>271</v>
      </c>
      <c r="H234" t="s">
        <v>431</v>
      </c>
      <c r="J234" t="s">
        <v>419</v>
      </c>
    </row>
    <row r="235" spans="6:10" x14ac:dyDescent="0.3">
      <c r="F235" t="s">
        <v>266</v>
      </c>
      <c r="H235" t="s">
        <v>431</v>
      </c>
      <c r="J235" t="s">
        <v>408</v>
      </c>
    </row>
    <row r="236" spans="6:10" x14ac:dyDescent="0.3">
      <c r="F236" t="s">
        <v>58</v>
      </c>
      <c r="H236" t="s">
        <v>430</v>
      </c>
      <c r="J236" t="s">
        <v>422</v>
      </c>
    </row>
    <row r="237" spans="6:10" x14ac:dyDescent="0.3">
      <c r="F237" t="s">
        <v>219</v>
      </c>
      <c r="H237" t="s">
        <v>431</v>
      </c>
      <c r="J237" t="s">
        <v>414</v>
      </c>
    </row>
    <row r="238" spans="6:10" x14ac:dyDescent="0.3">
      <c r="F238" t="s">
        <v>414</v>
      </c>
      <c r="H238" t="s">
        <v>434</v>
      </c>
      <c r="J238" t="s">
        <v>429</v>
      </c>
    </row>
    <row r="239" spans="6:10" x14ac:dyDescent="0.3">
      <c r="F239" t="s">
        <v>380</v>
      </c>
      <c r="H239" t="s">
        <v>433</v>
      </c>
      <c r="J239" t="s">
        <v>440</v>
      </c>
    </row>
    <row r="240" spans="6:10" x14ac:dyDescent="0.3">
      <c r="F240" t="s">
        <v>172</v>
      </c>
      <c r="H240" t="s">
        <v>431</v>
      </c>
      <c r="J240" t="s">
        <v>407</v>
      </c>
    </row>
    <row r="241" spans="6:10" x14ac:dyDescent="0.3">
      <c r="F241" t="s">
        <v>337</v>
      </c>
      <c r="H241" t="s">
        <v>433</v>
      </c>
      <c r="J241" t="s">
        <v>428</v>
      </c>
    </row>
    <row r="242" spans="6:10" x14ac:dyDescent="0.3">
      <c r="F242" t="s">
        <v>362</v>
      </c>
      <c r="H242" t="s">
        <v>433</v>
      </c>
      <c r="J242" t="s">
        <v>427</v>
      </c>
    </row>
    <row r="243" spans="6:10" x14ac:dyDescent="0.3">
      <c r="F243" t="s">
        <v>366</v>
      </c>
      <c r="H243" t="s">
        <v>433</v>
      </c>
      <c r="J243" t="s">
        <v>429</v>
      </c>
    </row>
    <row r="244" spans="6:10" x14ac:dyDescent="0.3">
      <c r="F244" t="s">
        <v>374</v>
      </c>
      <c r="H244" t="s">
        <v>433</v>
      </c>
      <c r="J244" t="s">
        <v>440</v>
      </c>
    </row>
    <row r="245" spans="6:10" x14ac:dyDescent="0.3">
      <c r="F245" t="s">
        <v>173</v>
      </c>
      <c r="H245" t="s">
        <v>431</v>
      </c>
      <c r="J245" t="s">
        <v>407</v>
      </c>
    </row>
    <row r="246" spans="6:10" x14ac:dyDescent="0.3">
      <c r="F246" t="s">
        <v>365</v>
      </c>
      <c r="H246" t="s">
        <v>433</v>
      </c>
      <c r="J246" t="s">
        <v>429</v>
      </c>
    </row>
    <row r="247" spans="6:10" x14ac:dyDescent="0.3">
      <c r="F247" t="s">
        <v>315</v>
      </c>
      <c r="H247" t="s">
        <v>432</v>
      </c>
      <c r="J247" t="s">
        <v>439</v>
      </c>
    </row>
    <row r="248" spans="6:10" x14ac:dyDescent="0.3">
      <c r="F248" t="s">
        <v>319</v>
      </c>
      <c r="H248" t="s">
        <v>433</v>
      </c>
      <c r="J248" t="s">
        <v>424</v>
      </c>
    </row>
    <row r="249" spans="6:10" x14ac:dyDescent="0.3">
      <c r="F249" t="s">
        <v>256</v>
      </c>
      <c r="H249" t="s">
        <v>431</v>
      </c>
      <c r="J249" t="s">
        <v>421</v>
      </c>
    </row>
    <row r="250" spans="6:10" x14ac:dyDescent="0.3">
      <c r="F250" t="s">
        <v>241</v>
      </c>
      <c r="H250" t="s">
        <v>431</v>
      </c>
      <c r="J250" t="s">
        <v>418</v>
      </c>
    </row>
    <row r="251" spans="6:10" x14ac:dyDescent="0.3">
      <c r="F251" t="s">
        <v>385</v>
      </c>
      <c r="H251" t="s">
        <v>433</v>
      </c>
      <c r="J251" t="s">
        <v>440</v>
      </c>
    </row>
    <row r="252" spans="6:10" x14ac:dyDescent="0.3">
      <c r="F252" t="s">
        <v>174</v>
      </c>
      <c r="H252" t="s">
        <v>431</v>
      </c>
      <c r="J252" t="s">
        <v>407</v>
      </c>
    </row>
    <row r="253" spans="6:10" x14ac:dyDescent="0.3">
      <c r="F253" t="s">
        <v>305</v>
      </c>
      <c r="H253" t="s">
        <v>432</v>
      </c>
      <c r="J253" t="s">
        <v>439</v>
      </c>
    </row>
    <row r="254" spans="6:10" x14ac:dyDescent="0.3">
      <c r="F254" t="s">
        <v>207</v>
      </c>
      <c r="H254" t="s">
        <v>431</v>
      </c>
      <c r="J254" t="s">
        <v>412</v>
      </c>
    </row>
    <row r="255" spans="6:10" x14ac:dyDescent="0.3">
      <c r="F255" t="s">
        <v>81</v>
      </c>
      <c r="H255" t="s">
        <v>430</v>
      </c>
      <c r="J255" t="s">
        <v>422</v>
      </c>
    </row>
    <row r="256" spans="6:10" x14ac:dyDescent="0.3">
      <c r="F256" t="s">
        <v>132</v>
      </c>
      <c r="H256" t="s">
        <v>431</v>
      </c>
      <c r="J256" t="s">
        <v>402</v>
      </c>
    </row>
    <row r="257" spans="6:10" x14ac:dyDescent="0.3">
      <c r="F257" t="s">
        <v>175</v>
      </c>
      <c r="H257" t="s">
        <v>431</v>
      </c>
      <c r="J257" t="s">
        <v>407</v>
      </c>
    </row>
    <row r="258" spans="6:10" x14ac:dyDescent="0.3">
      <c r="F258" t="s">
        <v>122</v>
      </c>
      <c r="H258" t="s">
        <v>431</v>
      </c>
      <c r="J258" t="s">
        <v>401</v>
      </c>
    </row>
    <row r="259" spans="6:10" x14ac:dyDescent="0.3">
      <c r="F259" t="s">
        <v>67</v>
      </c>
      <c r="H259" t="s">
        <v>430</v>
      </c>
      <c r="J259" t="s">
        <v>423</v>
      </c>
    </row>
    <row r="260" spans="6:10" x14ac:dyDescent="0.3">
      <c r="F260" t="s">
        <v>246</v>
      </c>
      <c r="H260" t="s">
        <v>431</v>
      </c>
      <c r="J260" t="s">
        <v>419</v>
      </c>
    </row>
    <row r="261" spans="6:10" x14ac:dyDescent="0.3">
      <c r="F261" t="s">
        <v>281</v>
      </c>
      <c r="H261" t="s">
        <v>431</v>
      </c>
      <c r="J261" t="s">
        <v>418</v>
      </c>
    </row>
    <row r="262" spans="6:10" x14ac:dyDescent="0.3">
      <c r="F262" t="s">
        <v>217</v>
      </c>
      <c r="H262" t="s">
        <v>431</v>
      </c>
      <c r="J262" t="s">
        <v>413</v>
      </c>
    </row>
    <row r="263" spans="6:10" x14ac:dyDescent="0.3">
      <c r="F263" t="s">
        <v>273</v>
      </c>
      <c r="H263" t="s">
        <v>431</v>
      </c>
      <c r="J263" t="s">
        <v>404</v>
      </c>
    </row>
    <row r="264" spans="6:10" x14ac:dyDescent="0.3">
      <c r="F264" t="s">
        <v>329</v>
      </c>
      <c r="H264" t="s">
        <v>433</v>
      </c>
      <c r="J264" t="s">
        <v>426</v>
      </c>
    </row>
    <row r="265" spans="6:10" x14ac:dyDescent="0.3">
      <c r="F265" t="s">
        <v>208</v>
      </c>
      <c r="H265" t="s">
        <v>431</v>
      </c>
      <c r="J265" t="s">
        <v>412</v>
      </c>
    </row>
    <row r="266" spans="6:10" x14ac:dyDescent="0.3">
      <c r="F266" t="s">
        <v>82</v>
      </c>
      <c r="H266" t="s">
        <v>430</v>
      </c>
      <c r="J266" t="s">
        <v>422</v>
      </c>
    </row>
    <row r="267" spans="6:10" x14ac:dyDescent="0.3">
      <c r="F267" t="s">
        <v>89</v>
      </c>
      <c r="H267" t="s">
        <v>430</v>
      </c>
      <c r="J267" t="s">
        <v>425</v>
      </c>
    </row>
    <row r="268" spans="6:10" x14ac:dyDescent="0.3">
      <c r="F268" t="s">
        <v>209</v>
      </c>
      <c r="H268" t="s">
        <v>431</v>
      </c>
      <c r="J268" t="s">
        <v>412</v>
      </c>
    </row>
    <row r="269" spans="6:10" x14ac:dyDescent="0.3">
      <c r="F269" t="s">
        <v>224</v>
      </c>
      <c r="H269" t="s">
        <v>431</v>
      </c>
      <c r="J269" t="s">
        <v>415</v>
      </c>
    </row>
    <row r="270" spans="6:10" x14ac:dyDescent="0.3">
      <c r="F270" t="s">
        <v>64</v>
      </c>
      <c r="H270" t="s">
        <v>430</v>
      </c>
      <c r="J270" t="s">
        <v>422</v>
      </c>
    </row>
    <row r="271" spans="6:10" x14ac:dyDescent="0.3">
      <c r="F271" t="s">
        <v>210</v>
      </c>
      <c r="H271" t="s">
        <v>431</v>
      </c>
      <c r="J271" t="s">
        <v>412</v>
      </c>
    </row>
    <row r="272" spans="6:10" x14ac:dyDescent="0.3">
      <c r="F272" t="s">
        <v>161</v>
      </c>
      <c r="H272" t="s">
        <v>431</v>
      </c>
      <c r="J272" t="s">
        <v>406</v>
      </c>
    </row>
    <row r="273" spans="6:10" x14ac:dyDescent="0.3">
      <c r="F273" t="s">
        <v>68</v>
      </c>
      <c r="H273" t="s">
        <v>430</v>
      </c>
      <c r="J273" t="s">
        <v>423</v>
      </c>
    </row>
    <row r="274" spans="6:10" x14ac:dyDescent="0.3">
      <c r="F274" t="s">
        <v>354</v>
      </c>
      <c r="H274" t="s">
        <v>433</v>
      </c>
      <c r="J274" t="s">
        <v>425</v>
      </c>
    </row>
    <row r="275" spans="6:10" x14ac:dyDescent="0.3">
      <c r="F275" t="s">
        <v>342</v>
      </c>
      <c r="H275" t="s">
        <v>433</v>
      </c>
      <c r="J275" t="s">
        <v>429</v>
      </c>
    </row>
    <row r="276" spans="6:10" x14ac:dyDescent="0.3">
      <c r="F276" t="s">
        <v>74</v>
      </c>
      <c r="H276" t="s">
        <v>430</v>
      </c>
      <c r="J276" t="s">
        <v>425</v>
      </c>
    </row>
    <row r="277" spans="6:10" x14ac:dyDescent="0.3">
      <c r="F277" t="s">
        <v>415</v>
      </c>
      <c r="H277" t="s">
        <v>434</v>
      </c>
      <c r="J277" t="s">
        <v>427</v>
      </c>
    </row>
    <row r="278" spans="6:10" x14ac:dyDescent="0.3">
      <c r="F278" t="s">
        <v>226</v>
      </c>
      <c r="H278" t="s">
        <v>431</v>
      </c>
      <c r="J278" t="s">
        <v>415</v>
      </c>
    </row>
    <row r="279" spans="6:10" x14ac:dyDescent="0.3">
      <c r="F279" t="s">
        <v>94</v>
      </c>
      <c r="H279" t="s">
        <v>431</v>
      </c>
      <c r="J279" t="s">
        <v>396</v>
      </c>
    </row>
    <row r="280" spans="6:10" x14ac:dyDescent="0.3">
      <c r="F280" t="s">
        <v>99</v>
      </c>
      <c r="H280" t="s">
        <v>431</v>
      </c>
      <c r="J280" t="s">
        <v>397</v>
      </c>
    </row>
    <row r="281" spans="6:10" x14ac:dyDescent="0.3">
      <c r="F281" t="s">
        <v>113</v>
      </c>
      <c r="H281" t="s">
        <v>431</v>
      </c>
      <c r="J281" t="s">
        <v>399</v>
      </c>
    </row>
    <row r="282" spans="6:10" x14ac:dyDescent="0.3">
      <c r="F282" t="s">
        <v>429</v>
      </c>
      <c r="H282" t="s">
        <v>435</v>
      </c>
      <c r="J282" t="s">
        <v>441</v>
      </c>
    </row>
    <row r="283" spans="6:10" x14ac:dyDescent="0.3">
      <c r="F283" t="s">
        <v>334</v>
      </c>
      <c r="H283" t="s">
        <v>433</v>
      </c>
      <c r="J283" t="s">
        <v>427</v>
      </c>
    </row>
    <row r="284" spans="6:10" x14ac:dyDescent="0.3">
      <c r="F284" t="s">
        <v>117</v>
      </c>
      <c r="H284" t="s">
        <v>431</v>
      </c>
      <c r="J284" t="s">
        <v>400</v>
      </c>
    </row>
    <row r="285" spans="6:10" x14ac:dyDescent="0.3">
      <c r="F285" t="s">
        <v>188</v>
      </c>
      <c r="H285" t="s">
        <v>431</v>
      </c>
      <c r="J285" t="s">
        <v>409</v>
      </c>
    </row>
    <row r="286" spans="6:10" x14ac:dyDescent="0.3">
      <c r="F286" t="s">
        <v>189</v>
      </c>
      <c r="H286" t="s">
        <v>431</v>
      </c>
      <c r="J286" t="s">
        <v>409</v>
      </c>
    </row>
    <row r="287" spans="6:10" x14ac:dyDescent="0.3">
      <c r="F287" t="s">
        <v>105</v>
      </c>
      <c r="H287" t="s">
        <v>431</v>
      </c>
      <c r="J287" t="s">
        <v>398</v>
      </c>
    </row>
    <row r="288" spans="6:10" x14ac:dyDescent="0.3">
      <c r="F288" t="s">
        <v>196</v>
      </c>
      <c r="H288" t="s">
        <v>431</v>
      </c>
      <c r="J288" t="s">
        <v>410</v>
      </c>
    </row>
    <row r="289" spans="6:10" x14ac:dyDescent="0.3">
      <c r="F289" t="s">
        <v>202</v>
      </c>
      <c r="H289" t="s">
        <v>431</v>
      </c>
      <c r="J289" t="s">
        <v>411</v>
      </c>
    </row>
    <row r="290" spans="6:10" x14ac:dyDescent="0.3">
      <c r="F290" t="s">
        <v>220</v>
      </c>
      <c r="H290" t="s">
        <v>431</v>
      </c>
      <c r="J290" t="s">
        <v>414</v>
      </c>
    </row>
    <row r="291" spans="6:10" x14ac:dyDescent="0.3">
      <c r="F291" t="s">
        <v>176</v>
      </c>
      <c r="H291" t="s">
        <v>431</v>
      </c>
      <c r="J291" t="s">
        <v>407</v>
      </c>
    </row>
    <row r="292" spans="6:10" x14ac:dyDescent="0.3">
      <c r="F292" t="s">
        <v>225</v>
      </c>
      <c r="H292" t="s">
        <v>431</v>
      </c>
      <c r="J292" t="s">
        <v>415</v>
      </c>
    </row>
    <row r="293" spans="6:10" x14ac:dyDescent="0.3">
      <c r="F293" t="s">
        <v>231</v>
      </c>
      <c r="H293" t="s">
        <v>431</v>
      </c>
      <c r="J293" t="s">
        <v>416</v>
      </c>
    </row>
    <row r="294" spans="6:10" x14ac:dyDescent="0.3">
      <c r="F294" t="s">
        <v>87</v>
      </c>
      <c r="H294" t="s">
        <v>430</v>
      </c>
      <c r="J294" t="s">
        <v>424</v>
      </c>
    </row>
    <row r="295" spans="6:10" x14ac:dyDescent="0.3">
      <c r="F295" t="s">
        <v>427</v>
      </c>
      <c r="H295" t="s">
        <v>435</v>
      </c>
      <c r="J295" t="s">
        <v>441</v>
      </c>
    </row>
    <row r="296" spans="6:10" x14ac:dyDescent="0.3">
      <c r="F296" t="s">
        <v>367</v>
      </c>
      <c r="H296" t="s">
        <v>433</v>
      </c>
      <c r="J296" t="s">
        <v>429</v>
      </c>
    </row>
    <row r="297" spans="6:10" x14ac:dyDescent="0.3">
      <c r="F297" t="s">
        <v>338</v>
      </c>
      <c r="H297" t="s">
        <v>433</v>
      </c>
      <c r="J297" t="s">
        <v>428</v>
      </c>
    </row>
    <row r="298" spans="6:10" x14ac:dyDescent="0.3">
      <c r="F298" t="s">
        <v>313</v>
      </c>
      <c r="H298" t="s">
        <v>432</v>
      </c>
      <c r="J298" t="s">
        <v>439</v>
      </c>
    </row>
    <row r="299" spans="6:10" x14ac:dyDescent="0.3">
      <c r="F299" t="s">
        <v>270</v>
      </c>
      <c r="H299" t="s">
        <v>431</v>
      </c>
      <c r="J299" t="s">
        <v>418</v>
      </c>
    </row>
    <row r="300" spans="6:10" x14ac:dyDescent="0.3">
      <c r="F300" t="s">
        <v>152</v>
      </c>
      <c r="H300" t="s">
        <v>431</v>
      </c>
      <c r="J300" t="s">
        <v>405</v>
      </c>
    </row>
    <row r="301" spans="6:10" x14ac:dyDescent="0.3">
      <c r="F301" t="s">
        <v>63</v>
      </c>
      <c r="H301" t="s">
        <v>430</v>
      </c>
      <c r="J301" t="s">
        <v>422</v>
      </c>
    </row>
    <row r="302" spans="6:10" x14ac:dyDescent="0.3">
      <c r="F302" t="s">
        <v>232</v>
      </c>
      <c r="H302" t="s">
        <v>431</v>
      </c>
      <c r="J302" t="s">
        <v>416</v>
      </c>
    </row>
    <row r="303" spans="6:10" x14ac:dyDescent="0.3">
      <c r="F303" t="s">
        <v>416</v>
      </c>
      <c r="H303" t="s">
        <v>434</v>
      </c>
      <c r="J303" t="s">
        <v>425</v>
      </c>
    </row>
    <row r="304" spans="6:10" x14ac:dyDescent="0.3">
      <c r="F304" t="s">
        <v>233</v>
      </c>
      <c r="H304" t="s">
        <v>431</v>
      </c>
      <c r="J304" t="s">
        <v>416</v>
      </c>
    </row>
    <row r="305" spans="6:10" x14ac:dyDescent="0.3">
      <c r="F305" t="s">
        <v>265</v>
      </c>
      <c r="H305" t="s">
        <v>431</v>
      </c>
      <c r="J305" t="s">
        <v>405</v>
      </c>
    </row>
    <row r="306" spans="6:10" x14ac:dyDescent="0.3">
      <c r="F306" t="s">
        <v>83</v>
      </c>
      <c r="H306" t="s">
        <v>430</v>
      </c>
      <c r="J306" t="s">
        <v>422</v>
      </c>
    </row>
    <row r="307" spans="6:10" x14ac:dyDescent="0.3">
      <c r="F307" t="s">
        <v>320</v>
      </c>
      <c r="H307" t="s">
        <v>433</v>
      </c>
      <c r="J307" t="s">
        <v>424</v>
      </c>
    </row>
    <row r="308" spans="6:10" x14ac:dyDescent="0.3">
      <c r="F308" t="s">
        <v>368</v>
      </c>
      <c r="H308" t="s">
        <v>433</v>
      </c>
      <c r="J308" t="s">
        <v>425</v>
      </c>
    </row>
    <row r="309" spans="6:10" x14ac:dyDescent="0.3">
      <c r="F309" t="s">
        <v>247</v>
      </c>
      <c r="H309" t="s">
        <v>431</v>
      </c>
      <c r="J309" t="s">
        <v>419</v>
      </c>
    </row>
    <row r="310" spans="6:10" x14ac:dyDescent="0.3">
      <c r="F310" t="s">
        <v>139</v>
      </c>
      <c r="H310" t="s">
        <v>431</v>
      </c>
      <c r="J310" t="s">
        <v>403</v>
      </c>
    </row>
    <row r="311" spans="6:10" x14ac:dyDescent="0.3">
      <c r="F311" t="s">
        <v>417</v>
      </c>
      <c r="H311" t="s">
        <v>434</v>
      </c>
      <c r="J311" t="s">
        <v>428</v>
      </c>
    </row>
    <row r="312" spans="6:10" x14ac:dyDescent="0.3">
      <c r="F312" t="s">
        <v>71</v>
      </c>
      <c r="H312" t="s">
        <v>430</v>
      </c>
      <c r="J312" t="s">
        <v>424</v>
      </c>
    </row>
    <row r="313" spans="6:10" x14ac:dyDescent="0.3">
      <c r="F313" t="s">
        <v>418</v>
      </c>
      <c r="H313" t="s">
        <v>434</v>
      </c>
      <c r="J313" t="s">
        <v>429</v>
      </c>
    </row>
    <row r="314" spans="6:10" x14ac:dyDescent="0.3">
      <c r="F314" t="s">
        <v>242</v>
      </c>
      <c r="H314" t="s">
        <v>431</v>
      </c>
      <c r="J314" t="s">
        <v>418</v>
      </c>
    </row>
    <row r="315" spans="6:10" x14ac:dyDescent="0.3">
      <c r="F315" t="s">
        <v>306</v>
      </c>
      <c r="H315" t="s">
        <v>432</v>
      </c>
      <c r="J315" t="s">
        <v>439</v>
      </c>
    </row>
    <row r="316" spans="6:10" x14ac:dyDescent="0.3">
      <c r="F316" t="s">
        <v>163</v>
      </c>
      <c r="H316" t="s">
        <v>431</v>
      </c>
      <c r="J316" t="s">
        <v>406</v>
      </c>
    </row>
    <row r="317" spans="6:10" x14ac:dyDescent="0.3">
      <c r="F317" t="s">
        <v>382</v>
      </c>
      <c r="H317" t="s">
        <v>433</v>
      </c>
      <c r="J317" t="s">
        <v>440</v>
      </c>
    </row>
    <row r="318" spans="6:10" x14ac:dyDescent="0.3">
      <c r="F318" t="s">
        <v>336</v>
      </c>
      <c r="H318" t="s">
        <v>433</v>
      </c>
      <c r="J318" t="s">
        <v>427</v>
      </c>
    </row>
    <row r="319" spans="6:10" x14ac:dyDescent="0.3">
      <c r="F319" t="s">
        <v>59</v>
      </c>
      <c r="H319" t="s">
        <v>430</v>
      </c>
      <c r="J319" t="s">
        <v>422</v>
      </c>
    </row>
    <row r="320" spans="6:10" x14ac:dyDescent="0.3">
      <c r="F320" t="s">
        <v>267</v>
      </c>
      <c r="H320" t="s">
        <v>431</v>
      </c>
      <c r="J320" t="s">
        <v>416</v>
      </c>
    </row>
    <row r="321" spans="6:10" x14ac:dyDescent="0.3">
      <c r="F321" t="s">
        <v>243</v>
      </c>
      <c r="H321" t="s">
        <v>431</v>
      </c>
      <c r="J321" t="s">
        <v>418</v>
      </c>
    </row>
    <row r="322" spans="6:10" x14ac:dyDescent="0.3">
      <c r="F322" t="s">
        <v>118</v>
      </c>
      <c r="H322" t="s">
        <v>431</v>
      </c>
      <c r="J322" t="s">
        <v>400</v>
      </c>
    </row>
    <row r="323" spans="6:10" x14ac:dyDescent="0.3">
      <c r="F323" t="s">
        <v>331</v>
      </c>
      <c r="H323" t="s">
        <v>433</v>
      </c>
      <c r="J323" t="s">
        <v>425</v>
      </c>
    </row>
    <row r="324" spans="6:10" x14ac:dyDescent="0.3">
      <c r="F324" t="s">
        <v>133</v>
      </c>
      <c r="H324" t="s">
        <v>431</v>
      </c>
      <c r="J324" t="s">
        <v>402</v>
      </c>
    </row>
    <row r="325" spans="6:10" x14ac:dyDescent="0.3">
      <c r="F325" t="s">
        <v>146</v>
      </c>
      <c r="H325" t="s">
        <v>431</v>
      </c>
      <c r="J325" t="s">
        <v>404</v>
      </c>
    </row>
    <row r="326" spans="6:10" x14ac:dyDescent="0.3">
      <c r="F326" t="s">
        <v>140</v>
      </c>
      <c r="H326" t="s">
        <v>431</v>
      </c>
      <c r="J326" t="s">
        <v>403</v>
      </c>
    </row>
    <row r="327" spans="6:10" x14ac:dyDescent="0.3">
      <c r="F327" t="s">
        <v>164</v>
      </c>
      <c r="H327" t="s">
        <v>431</v>
      </c>
      <c r="J327" t="s">
        <v>406</v>
      </c>
    </row>
    <row r="328" spans="6:10" x14ac:dyDescent="0.3">
      <c r="F328" t="s">
        <v>153</v>
      </c>
      <c r="H328" t="s">
        <v>431</v>
      </c>
      <c r="J328" t="s">
        <v>405</v>
      </c>
    </row>
    <row r="329" spans="6:10" x14ac:dyDescent="0.3">
      <c r="F329" t="s">
        <v>364</v>
      </c>
      <c r="H329" t="s">
        <v>433</v>
      </c>
      <c r="J329" t="s">
        <v>428</v>
      </c>
    </row>
    <row r="330" spans="6:10" x14ac:dyDescent="0.3">
      <c r="F330" t="s">
        <v>165</v>
      </c>
      <c r="H330" t="s">
        <v>431</v>
      </c>
      <c r="J330" t="s">
        <v>406</v>
      </c>
    </row>
    <row r="331" spans="6:10" x14ac:dyDescent="0.3">
      <c r="F331" t="s">
        <v>335</v>
      </c>
      <c r="H331" t="s">
        <v>433</v>
      </c>
      <c r="J331" t="s">
        <v>427</v>
      </c>
    </row>
    <row r="332" spans="6:10" x14ac:dyDescent="0.3">
      <c r="F332" t="s">
        <v>392</v>
      </c>
      <c r="H332" t="s">
        <v>433</v>
      </c>
      <c r="J332" t="s">
        <v>440</v>
      </c>
    </row>
    <row r="333" spans="6:10" x14ac:dyDescent="0.3">
      <c r="F333" t="s">
        <v>119</v>
      </c>
      <c r="H333" t="s">
        <v>431</v>
      </c>
      <c r="J333" t="s">
        <v>400</v>
      </c>
    </row>
    <row r="334" spans="6:10" x14ac:dyDescent="0.3">
      <c r="F334" t="s">
        <v>310</v>
      </c>
      <c r="H334" t="s">
        <v>432</v>
      </c>
      <c r="J334" t="s">
        <v>439</v>
      </c>
    </row>
    <row r="335" spans="6:10" x14ac:dyDescent="0.3">
      <c r="F335" t="s">
        <v>60</v>
      </c>
      <c r="H335" t="s">
        <v>430</v>
      </c>
      <c r="J335" t="s">
        <v>422</v>
      </c>
    </row>
    <row r="336" spans="6:10" x14ac:dyDescent="0.3">
      <c r="F336" t="s">
        <v>166</v>
      </c>
      <c r="H336" t="s">
        <v>431</v>
      </c>
      <c r="J336" t="s">
        <v>406</v>
      </c>
    </row>
    <row r="337" spans="6:10" x14ac:dyDescent="0.3">
      <c r="F337" t="s">
        <v>134</v>
      </c>
      <c r="H337" t="s">
        <v>431</v>
      </c>
      <c r="J337" t="s">
        <v>402</v>
      </c>
    </row>
    <row r="338" spans="6:10" x14ac:dyDescent="0.3">
      <c r="F338" t="s">
        <v>387</v>
      </c>
      <c r="H338" t="s">
        <v>433</v>
      </c>
      <c r="J338" t="s">
        <v>440</v>
      </c>
    </row>
    <row r="339" spans="6:10" x14ac:dyDescent="0.3">
      <c r="F339" t="s">
        <v>221</v>
      </c>
      <c r="H339" t="s">
        <v>431</v>
      </c>
      <c r="J339" t="s">
        <v>414</v>
      </c>
    </row>
    <row r="340" spans="6:10" x14ac:dyDescent="0.3">
      <c r="F340" t="s">
        <v>79</v>
      </c>
      <c r="H340" t="s">
        <v>430</v>
      </c>
      <c r="J340" t="s">
        <v>423</v>
      </c>
    </row>
    <row r="341" spans="6:10" x14ac:dyDescent="0.3">
      <c r="F341" t="s">
        <v>90</v>
      </c>
      <c r="H341" t="s">
        <v>430</v>
      </c>
      <c r="J341" t="s">
        <v>425</v>
      </c>
    </row>
    <row r="342" spans="6:10" x14ac:dyDescent="0.3">
      <c r="F342" t="s">
        <v>307</v>
      </c>
      <c r="H342" t="s">
        <v>432</v>
      </c>
      <c r="J342" t="s">
        <v>439</v>
      </c>
    </row>
    <row r="343" spans="6:10" x14ac:dyDescent="0.3">
      <c r="F343" t="s">
        <v>308</v>
      </c>
      <c r="H343" t="s">
        <v>432</v>
      </c>
      <c r="J343" t="s">
        <v>439</v>
      </c>
    </row>
    <row r="344" spans="6:10" x14ac:dyDescent="0.3">
      <c r="F344" t="s">
        <v>323</v>
      </c>
      <c r="H344" t="s">
        <v>433</v>
      </c>
      <c r="J344" t="s">
        <v>422</v>
      </c>
    </row>
    <row r="345" spans="6:10" x14ac:dyDescent="0.3">
      <c r="F345" t="s">
        <v>248</v>
      </c>
      <c r="H345" t="s">
        <v>431</v>
      </c>
      <c r="J345" t="s">
        <v>419</v>
      </c>
    </row>
    <row r="346" spans="6:10" x14ac:dyDescent="0.3">
      <c r="F346" t="s">
        <v>419</v>
      </c>
      <c r="H346" t="s">
        <v>434</v>
      </c>
      <c r="J346" t="s">
        <v>425</v>
      </c>
    </row>
    <row r="347" spans="6:10" x14ac:dyDescent="0.3">
      <c r="F347" t="s">
        <v>278</v>
      </c>
      <c r="H347" t="s">
        <v>431</v>
      </c>
      <c r="J347" t="s">
        <v>405</v>
      </c>
    </row>
    <row r="348" spans="6:10" x14ac:dyDescent="0.3">
      <c r="F348" t="s">
        <v>244</v>
      </c>
      <c r="H348" t="s">
        <v>431</v>
      </c>
      <c r="J348" t="s">
        <v>418</v>
      </c>
    </row>
    <row r="349" spans="6:10" x14ac:dyDescent="0.3">
      <c r="F349" t="s">
        <v>123</v>
      </c>
      <c r="H349" t="s">
        <v>431</v>
      </c>
      <c r="J349" t="s">
        <v>401</v>
      </c>
    </row>
    <row r="350" spans="6:10" x14ac:dyDescent="0.3">
      <c r="F350" t="s">
        <v>203</v>
      </c>
      <c r="H350" t="s">
        <v>431</v>
      </c>
      <c r="J350" t="s">
        <v>411</v>
      </c>
    </row>
    <row r="351" spans="6:10" x14ac:dyDescent="0.3">
      <c r="F351" t="s">
        <v>154</v>
      </c>
      <c r="H351" t="s">
        <v>431</v>
      </c>
      <c r="J351" t="s">
        <v>405</v>
      </c>
    </row>
    <row r="352" spans="6:10" x14ac:dyDescent="0.3">
      <c r="F352" t="s">
        <v>341</v>
      </c>
      <c r="H352" t="s">
        <v>433</v>
      </c>
      <c r="J352" t="s">
        <v>429</v>
      </c>
    </row>
    <row r="353" spans="6:10" x14ac:dyDescent="0.3">
      <c r="F353" t="s">
        <v>120</v>
      </c>
      <c r="H353" t="s">
        <v>431</v>
      </c>
      <c r="J353" t="s">
        <v>400</v>
      </c>
    </row>
    <row r="354" spans="6:10" x14ac:dyDescent="0.3">
      <c r="F354" t="s">
        <v>177</v>
      </c>
      <c r="H354" t="s">
        <v>431</v>
      </c>
      <c r="J354" t="s">
        <v>407</v>
      </c>
    </row>
    <row r="355" spans="6:10" x14ac:dyDescent="0.3">
      <c r="F355" t="s">
        <v>190</v>
      </c>
      <c r="H355" t="s">
        <v>431</v>
      </c>
      <c r="J355" t="s">
        <v>409</v>
      </c>
    </row>
    <row r="356" spans="6:10" x14ac:dyDescent="0.3">
      <c r="F356" t="s">
        <v>425</v>
      </c>
      <c r="H356" t="s">
        <v>435</v>
      </c>
      <c r="J356" t="s">
        <v>441</v>
      </c>
    </row>
    <row r="357" spans="6:10" x14ac:dyDescent="0.3">
      <c r="F357" t="s">
        <v>222</v>
      </c>
      <c r="H357" t="s">
        <v>431</v>
      </c>
      <c r="J357" t="s">
        <v>414</v>
      </c>
    </row>
    <row r="358" spans="6:10" x14ac:dyDescent="0.3">
      <c r="F358" t="s">
        <v>235</v>
      </c>
      <c r="H358" t="s">
        <v>431</v>
      </c>
      <c r="J358" t="s">
        <v>417</v>
      </c>
    </row>
    <row r="359" spans="6:10" x14ac:dyDescent="0.3">
      <c r="F359" t="s">
        <v>420</v>
      </c>
      <c r="H359" t="s">
        <v>434</v>
      </c>
      <c r="J359" t="s">
        <v>429</v>
      </c>
    </row>
    <row r="360" spans="6:10" x14ac:dyDescent="0.3">
      <c r="F360" t="s">
        <v>284</v>
      </c>
      <c r="H360" t="s">
        <v>432</v>
      </c>
      <c r="J360" t="s">
        <v>439</v>
      </c>
    </row>
    <row r="361" spans="6:10" x14ac:dyDescent="0.3">
      <c r="F361" t="s">
        <v>61</v>
      </c>
      <c r="H361" t="s">
        <v>430</v>
      </c>
      <c r="J361" t="s">
        <v>422</v>
      </c>
    </row>
    <row r="362" spans="6:10" x14ac:dyDescent="0.3">
      <c r="F362" t="s">
        <v>356</v>
      </c>
      <c r="H362" t="s">
        <v>433</v>
      </c>
      <c r="J362" t="s">
        <v>427</v>
      </c>
    </row>
    <row r="363" spans="6:10" x14ac:dyDescent="0.3">
      <c r="F363" t="s">
        <v>147</v>
      </c>
      <c r="H363" t="s">
        <v>431</v>
      </c>
      <c r="J363" t="s">
        <v>404</v>
      </c>
    </row>
    <row r="364" spans="6:10" x14ac:dyDescent="0.3">
      <c r="F364" t="s">
        <v>343</v>
      </c>
      <c r="H364" t="s">
        <v>433</v>
      </c>
      <c r="J364" t="s">
        <v>429</v>
      </c>
    </row>
    <row r="365" spans="6:10" x14ac:dyDescent="0.3">
      <c r="F365" t="s">
        <v>85</v>
      </c>
      <c r="H365" t="s">
        <v>430</v>
      </c>
      <c r="J365" t="s">
        <v>422</v>
      </c>
    </row>
    <row r="366" spans="6:10" x14ac:dyDescent="0.3">
      <c r="F366" t="s">
        <v>276</v>
      </c>
      <c r="H366" t="s">
        <v>431</v>
      </c>
      <c r="J366" t="s">
        <v>418</v>
      </c>
    </row>
    <row r="367" spans="6:10" x14ac:dyDescent="0.3">
      <c r="F367" t="s">
        <v>344</v>
      </c>
      <c r="H367" t="s">
        <v>433</v>
      </c>
      <c r="J367" t="s">
        <v>429</v>
      </c>
    </row>
    <row r="368" spans="6:10" x14ac:dyDescent="0.3">
      <c r="F368" t="s">
        <v>91</v>
      </c>
      <c r="H368" t="s">
        <v>430</v>
      </c>
      <c r="J368" t="s">
        <v>425</v>
      </c>
    </row>
    <row r="369" spans="2:10" x14ac:dyDescent="0.3">
      <c r="F369" t="s">
        <v>257</v>
      </c>
      <c r="H369" t="s">
        <v>431</v>
      </c>
      <c r="J369" t="s">
        <v>421</v>
      </c>
    </row>
    <row r="370" spans="2:10" x14ac:dyDescent="0.3">
      <c r="F370" t="s">
        <v>421</v>
      </c>
      <c r="H370" t="s">
        <v>434</v>
      </c>
      <c r="J370" t="s">
        <v>425</v>
      </c>
    </row>
    <row r="371" spans="2:10" x14ac:dyDescent="0.3">
      <c r="F371" t="s">
        <v>272</v>
      </c>
      <c r="H371" t="s">
        <v>431</v>
      </c>
      <c r="J371" t="s">
        <v>420</v>
      </c>
    </row>
    <row r="372" spans="2:10" x14ac:dyDescent="0.3">
      <c r="F372" t="s">
        <v>383</v>
      </c>
      <c r="H372" t="s">
        <v>433</v>
      </c>
      <c r="J372" t="s">
        <v>440</v>
      </c>
    </row>
    <row r="373" spans="2:10" x14ac:dyDescent="0.3">
      <c r="F373" t="s">
        <v>258</v>
      </c>
      <c r="H373" t="s">
        <v>431</v>
      </c>
      <c r="J373" t="s">
        <v>421</v>
      </c>
    </row>
    <row r="374" spans="2:10" x14ac:dyDescent="0.3">
      <c r="F374" t="s">
        <v>95</v>
      </c>
      <c r="H374" t="s">
        <v>431</v>
      </c>
      <c r="J374" t="s">
        <v>396</v>
      </c>
    </row>
    <row r="375" spans="2:10" x14ac:dyDescent="0.3">
      <c r="F375" t="s">
        <v>178</v>
      </c>
      <c r="H375" t="s">
        <v>431</v>
      </c>
      <c r="J375" t="s">
        <v>407</v>
      </c>
    </row>
    <row r="376" spans="2:10" x14ac:dyDescent="0.3">
      <c r="F376" t="s">
        <v>259</v>
      </c>
      <c r="H376" t="s">
        <v>431</v>
      </c>
      <c r="J376" t="s">
        <v>421</v>
      </c>
    </row>
    <row r="377" spans="2:10" x14ac:dyDescent="0.3">
      <c r="F377" t="s">
        <v>328</v>
      </c>
      <c r="H377" t="s">
        <v>433</v>
      </c>
      <c r="J377" t="s">
        <v>423</v>
      </c>
    </row>
    <row r="378" spans="2:10" x14ac:dyDescent="0.3">
      <c r="F378" t="s">
        <v>423</v>
      </c>
      <c r="H378" t="s">
        <v>435</v>
      </c>
      <c r="J378" t="s">
        <v>441</v>
      </c>
    </row>
    <row r="381" spans="2:10" x14ac:dyDescent="0.3">
      <c r="B381" s="28" t="s">
        <v>537</v>
      </c>
      <c r="C381" s="29"/>
      <c r="D381" s="29"/>
    </row>
    <row r="382" spans="2:10" x14ac:dyDescent="0.3">
      <c r="B382" s="169" t="s">
        <v>538</v>
      </c>
      <c r="C382" s="169"/>
      <c r="D382" s="169"/>
    </row>
  </sheetData>
  <sortState xmlns:xlrd2="http://schemas.microsoft.com/office/spreadsheetml/2017/richdata2" ref="F5:J378">
    <sortCondition ref="F5:F378"/>
  </sortState>
  <mergeCells count="1">
    <mergeCell ref="B382:D382"/>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CAF41-7BA7-46FA-94BC-8608C730467F}">
  <sheetPr>
    <tabColor rgb="FF007078"/>
  </sheetPr>
  <dimension ref="B7:W31"/>
  <sheetViews>
    <sheetView showGridLines="0" zoomScale="80" zoomScaleNormal="80" workbookViewId="0">
      <selection activeCell="B38" sqref="B38"/>
    </sheetView>
  </sheetViews>
  <sheetFormatPr defaultColWidth="8.83203125" defaultRowHeight="14" x14ac:dyDescent="0.3"/>
  <cols>
    <col min="1" max="1" width="8.83203125" style="53" customWidth="1"/>
    <col min="2" max="6" width="8.83203125" style="53"/>
    <col min="7" max="7" width="12.33203125" style="53" bestFit="1" customWidth="1"/>
    <col min="8" max="8" width="8.83203125" style="53"/>
    <col min="9" max="9" width="8.83203125" style="53" customWidth="1"/>
    <col min="10" max="16384" width="8.83203125" style="53"/>
  </cols>
  <sheetData>
    <row r="7" spans="2:23" ht="14.5" thickBot="1" x14ac:dyDescent="0.35"/>
    <row r="8" spans="2:23" x14ac:dyDescent="0.3">
      <c r="B8" s="54"/>
      <c r="C8" s="54"/>
      <c r="D8" s="54"/>
      <c r="E8" s="54"/>
      <c r="F8" s="54"/>
      <c r="G8" s="54"/>
      <c r="H8" s="54"/>
      <c r="I8" s="54"/>
      <c r="J8" s="54"/>
      <c r="K8" s="54"/>
      <c r="L8" s="54"/>
      <c r="M8" s="54"/>
      <c r="N8" s="54"/>
      <c r="O8" s="54"/>
      <c r="P8" s="54"/>
      <c r="Q8" s="54"/>
      <c r="R8" s="54"/>
      <c r="S8" s="54"/>
      <c r="T8" s="54"/>
      <c r="U8" s="54"/>
      <c r="V8" s="54"/>
    </row>
    <row r="9" spans="2:23" x14ac:dyDescent="0.3">
      <c r="B9" s="161" t="s">
        <v>546</v>
      </c>
      <c r="C9" s="161"/>
      <c r="D9" s="161"/>
      <c r="E9" s="161"/>
      <c r="F9" s="161"/>
      <c r="G9" s="161"/>
      <c r="H9" s="69"/>
      <c r="I9" s="69"/>
      <c r="J9" s="69"/>
      <c r="K9" s="69"/>
      <c r="L9" s="69"/>
      <c r="M9" s="69"/>
      <c r="N9" s="69"/>
      <c r="O9" s="69"/>
      <c r="P9" s="69"/>
      <c r="Q9" s="69"/>
      <c r="R9" s="69"/>
      <c r="S9" s="69"/>
      <c r="T9" s="69"/>
      <c r="U9" s="69"/>
      <c r="V9" s="69"/>
      <c r="W9" s="69"/>
    </row>
    <row r="10" spans="2:23" ht="49" customHeight="1" x14ac:dyDescent="0.3">
      <c r="B10" s="162" t="s">
        <v>679</v>
      </c>
      <c r="C10" s="162"/>
      <c r="D10" s="162"/>
      <c r="E10" s="162"/>
      <c r="F10" s="162"/>
      <c r="G10" s="162"/>
      <c r="H10" s="162"/>
      <c r="I10" s="162"/>
      <c r="J10" s="162"/>
      <c r="K10" s="162"/>
      <c r="L10" s="162"/>
      <c r="M10" s="162"/>
      <c r="N10" s="162"/>
      <c r="O10" s="162"/>
      <c r="P10" s="162"/>
      <c r="Q10" s="162"/>
      <c r="R10" s="162"/>
      <c r="S10" s="162"/>
      <c r="T10" s="162"/>
      <c r="U10" s="162"/>
      <c r="V10" s="162"/>
      <c r="W10" s="69"/>
    </row>
    <row r="11" spans="2:23" ht="14.5" thickBot="1" x14ac:dyDescent="0.35">
      <c r="B11" s="70"/>
      <c r="C11" s="70"/>
      <c r="D11" s="70"/>
      <c r="E11" s="70"/>
      <c r="F11" s="70"/>
      <c r="G11" s="70"/>
      <c r="H11" s="71"/>
      <c r="I11" s="71"/>
      <c r="J11" s="71"/>
      <c r="K11" s="71"/>
      <c r="L11" s="71"/>
      <c r="M11" s="71"/>
      <c r="N11" s="71"/>
      <c r="O11" s="71"/>
      <c r="P11" s="71"/>
      <c r="Q11" s="71"/>
      <c r="R11" s="71"/>
      <c r="S11" s="71"/>
      <c r="T11" s="71"/>
      <c r="U11" s="71"/>
      <c r="V11" s="71"/>
    </row>
    <row r="12" spans="2:23" x14ac:dyDescent="0.3">
      <c r="B12" s="54"/>
      <c r="C12" s="54"/>
      <c r="D12" s="54"/>
      <c r="E12" s="54"/>
      <c r="F12" s="54"/>
      <c r="G12" s="54"/>
      <c r="H12" s="54"/>
      <c r="I12" s="54"/>
      <c r="J12" s="54"/>
      <c r="K12" s="54"/>
      <c r="L12" s="54"/>
      <c r="M12" s="54"/>
      <c r="N12" s="54"/>
      <c r="O12" s="54"/>
      <c r="P12" s="54"/>
      <c r="Q12" s="54"/>
      <c r="R12" s="54"/>
      <c r="S12" s="54"/>
      <c r="T12" s="54"/>
      <c r="U12" s="54"/>
      <c r="V12" s="54"/>
    </row>
    <row r="13" spans="2:23" x14ac:dyDescent="0.3">
      <c r="B13" s="161" t="s">
        <v>529</v>
      </c>
      <c r="C13" s="161"/>
      <c r="D13" s="161"/>
      <c r="E13" s="161"/>
      <c r="F13" s="161"/>
      <c r="G13" s="161"/>
      <c r="H13" s="69"/>
      <c r="I13" s="69"/>
      <c r="J13" s="69"/>
      <c r="K13" s="69"/>
      <c r="L13" s="69"/>
      <c r="M13" s="69"/>
      <c r="N13" s="69"/>
      <c r="O13" s="69"/>
      <c r="P13" s="69"/>
      <c r="Q13" s="69"/>
      <c r="R13" s="69"/>
      <c r="S13" s="69"/>
      <c r="T13" s="69"/>
      <c r="U13" s="69"/>
      <c r="V13" s="69"/>
      <c r="W13" s="69"/>
    </row>
    <row r="14" spans="2:23" ht="132.5" customHeight="1" x14ac:dyDescent="0.3">
      <c r="B14" s="162" t="s">
        <v>539</v>
      </c>
      <c r="C14" s="162"/>
      <c r="D14" s="162"/>
      <c r="E14" s="162"/>
      <c r="F14" s="162"/>
      <c r="G14" s="162"/>
      <c r="H14" s="162"/>
      <c r="I14" s="162"/>
      <c r="J14" s="162"/>
      <c r="K14" s="162"/>
      <c r="L14" s="162"/>
      <c r="M14" s="162"/>
      <c r="N14" s="162"/>
      <c r="O14" s="162"/>
      <c r="P14" s="162"/>
      <c r="Q14" s="162"/>
      <c r="R14" s="162"/>
      <c r="S14" s="162"/>
      <c r="T14" s="162"/>
      <c r="U14" s="162"/>
      <c r="V14" s="162"/>
      <c r="W14" s="69"/>
    </row>
    <row r="15" spans="2:23" x14ac:dyDescent="0.3">
      <c r="B15" s="72"/>
      <c r="C15" s="72"/>
      <c r="D15" s="72"/>
      <c r="E15" s="72"/>
      <c r="F15" s="72"/>
      <c r="G15" s="72"/>
    </row>
    <row r="16" spans="2:23" x14ac:dyDescent="0.3">
      <c r="B16" s="73" t="s">
        <v>537</v>
      </c>
      <c r="C16" s="74"/>
      <c r="D16" s="74"/>
      <c r="E16" s="72"/>
      <c r="F16" s="72"/>
      <c r="G16" s="72"/>
    </row>
    <row r="17" spans="2:7" ht="56.75" customHeight="1" x14ac:dyDescent="0.3">
      <c r="B17" s="160" t="s">
        <v>573</v>
      </c>
      <c r="C17" s="160"/>
      <c r="D17" s="160"/>
      <c r="E17" s="72"/>
      <c r="F17" s="72"/>
      <c r="G17" s="72"/>
    </row>
    <row r="18" spans="2:7" x14ac:dyDescent="0.3">
      <c r="B18" s="72"/>
      <c r="C18" s="72"/>
      <c r="D18" s="72"/>
      <c r="E18" s="72"/>
      <c r="F18" s="72"/>
      <c r="G18" s="72"/>
    </row>
    <row r="19" spans="2:7" x14ac:dyDescent="0.3">
      <c r="B19" s="72"/>
      <c r="C19" s="72"/>
      <c r="D19" s="72"/>
      <c r="E19" s="72"/>
      <c r="F19" s="72"/>
      <c r="G19" s="72"/>
    </row>
    <row r="20" spans="2:7" x14ac:dyDescent="0.3">
      <c r="B20" s="72"/>
      <c r="C20" s="72"/>
      <c r="D20" s="72"/>
      <c r="E20" s="72"/>
      <c r="F20" s="72"/>
      <c r="G20" s="72"/>
    </row>
    <row r="21" spans="2:7" x14ac:dyDescent="0.3">
      <c r="B21" s="72"/>
      <c r="C21" s="72"/>
      <c r="D21" s="72"/>
      <c r="E21" s="72"/>
      <c r="F21" s="72"/>
      <c r="G21" s="72"/>
    </row>
    <row r="22" spans="2:7" x14ac:dyDescent="0.3">
      <c r="B22" s="72"/>
      <c r="C22" s="72"/>
      <c r="D22" s="72"/>
      <c r="E22" s="72"/>
      <c r="F22" s="72"/>
      <c r="G22" s="72"/>
    </row>
    <row r="23" spans="2:7" x14ac:dyDescent="0.3">
      <c r="B23" s="72"/>
      <c r="C23" s="72"/>
      <c r="D23" s="72"/>
      <c r="E23" s="72"/>
      <c r="F23" s="72"/>
      <c r="G23" s="72"/>
    </row>
    <row r="24" spans="2:7" x14ac:dyDescent="0.3">
      <c r="B24" s="72"/>
      <c r="C24" s="72"/>
      <c r="D24" s="72"/>
      <c r="E24" s="72"/>
      <c r="F24" s="72"/>
      <c r="G24" s="72"/>
    </row>
    <row r="25" spans="2:7" x14ac:dyDescent="0.3">
      <c r="B25" s="72"/>
      <c r="C25" s="72"/>
      <c r="D25" s="72"/>
      <c r="E25" s="72"/>
      <c r="F25" s="72"/>
      <c r="G25" s="72"/>
    </row>
    <row r="26" spans="2:7" x14ac:dyDescent="0.3">
      <c r="B26" s="72"/>
      <c r="C26" s="72"/>
      <c r="D26" s="72"/>
      <c r="E26" s="72"/>
      <c r="F26" s="72"/>
      <c r="G26" s="72"/>
    </row>
    <row r="27" spans="2:7" x14ac:dyDescent="0.3">
      <c r="B27" s="72"/>
      <c r="C27" s="72"/>
      <c r="D27" s="72"/>
      <c r="E27" s="72"/>
      <c r="F27" s="72"/>
      <c r="G27" s="72"/>
    </row>
    <row r="28" spans="2:7" x14ac:dyDescent="0.3">
      <c r="B28" s="72"/>
      <c r="C28" s="72"/>
      <c r="D28" s="72"/>
      <c r="E28" s="72"/>
      <c r="F28" s="72"/>
      <c r="G28" s="72"/>
    </row>
    <row r="29" spans="2:7" x14ac:dyDescent="0.3">
      <c r="B29" s="72"/>
      <c r="C29" s="72"/>
      <c r="D29" s="72"/>
      <c r="E29" s="72"/>
      <c r="F29" s="72"/>
      <c r="G29" s="72"/>
    </row>
    <row r="30" spans="2:7" x14ac:dyDescent="0.3">
      <c r="B30" s="72"/>
      <c r="C30" s="72"/>
      <c r="D30" s="72"/>
      <c r="E30" s="72"/>
      <c r="F30" s="72"/>
      <c r="G30" s="72"/>
    </row>
    <row r="31" spans="2:7" x14ac:dyDescent="0.3">
      <c r="B31" s="72"/>
      <c r="C31" s="72"/>
      <c r="D31" s="72"/>
      <c r="E31" s="72"/>
      <c r="F31" s="72"/>
      <c r="G31" s="72"/>
    </row>
  </sheetData>
  <mergeCells count="5">
    <mergeCell ref="B17:D17"/>
    <mergeCell ref="B9:G9"/>
    <mergeCell ref="B10:V10"/>
    <mergeCell ref="B13:G13"/>
    <mergeCell ref="B14:V14"/>
  </mergeCells>
  <phoneticPr fontId="11"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8E00A-CACE-4659-8914-E2066D6D419F}">
  <sheetPr>
    <tabColor rgb="FF00C18B"/>
  </sheetPr>
  <dimension ref="B1:K56"/>
  <sheetViews>
    <sheetView showGridLines="0" topLeftCell="A46" zoomScaleNormal="100" workbookViewId="0">
      <selection activeCell="E47" sqref="E47"/>
    </sheetView>
  </sheetViews>
  <sheetFormatPr defaultColWidth="8.83203125" defaultRowHeight="14" x14ac:dyDescent="0.3"/>
  <cols>
    <col min="1" max="1" width="8.83203125" style="53"/>
    <col min="2" max="2" width="35.6640625" style="53" bestFit="1" customWidth="1"/>
    <col min="3" max="3" width="28.6640625" style="53" bestFit="1" customWidth="1"/>
    <col min="4" max="4" width="18.5" style="53" bestFit="1" customWidth="1"/>
    <col min="5" max="5" width="13.08203125" style="53" bestFit="1" customWidth="1"/>
    <col min="6" max="6" width="13" style="53" bestFit="1" customWidth="1"/>
    <col min="7" max="7" width="23" style="53" bestFit="1" customWidth="1"/>
    <col min="8" max="16384" width="8.83203125" style="53"/>
  </cols>
  <sheetData>
    <row r="1" spans="2:7" s="57" customFormat="1" x14ac:dyDescent="0.3"/>
    <row r="2" spans="2:7" s="57" customFormat="1" x14ac:dyDescent="0.3"/>
    <row r="3" spans="2:7" s="57" customFormat="1" x14ac:dyDescent="0.3"/>
    <row r="4" spans="2:7" s="57" customFormat="1" x14ac:dyDescent="0.3">
      <c r="F4" s="53"/>
      <c r="G4" s="53"/>
    </row>
    <row r="5" spans="2:7" s="57" customFormat="1" x14ac:dyDescent="0.3">
      <c r="F5" s="53"/>
      <c r="G5" s="53"/>
    </row>
    <row r="6" spans="2:7" s="57" customFormat="1" x14ac:dyDescent="0.3">
      <c r="F6" s="53"/>
      <c r="G6" s="53"/>
    </row>
    <row r="7" spans="2:7" s="57" customFormat="1" x14ac:dyDescent="0.3">
      <c r="B7" s="75" t="s">
        <v>536</v>
      </c>
      <c r="F7" s="53"/>
      <c r="G7" s="53"/>
    </row>
    <row r="8" spans="2:7" s="57" customFormat="1" x14ac:dyDescent="0.3">
      <c r="B8" s="56" t="s">
        <v>457</v>
      </c>
      <c r="C8" s="76"/>
      <c r="F8" s="53"/>
      <c r="G8" s="53"/>
    </row>
    <row r="9" spans="2:7" s="57" customFormat="1" x14ac:dyDescent="0.3">
      <c r="B9" s="58" t="s">
        <v>460</v>
      </c>
      <c r="C9" s="77"/>
      <c r="F9" s="53"/>
      <c r="G9" s="53"/>
    </row>
    <row r="10" spans="2:7" s="57" customFormat="1" x14ac:dyDescent="0.3">
      <c r="B10" s="59" t="s">
        <v>458</v>
      </c>
      <c r="C10" s="77"/>
      <c r="F10" s="53"/>
      <c r="G10" s="53"/>
    </row>
    <row r="11" spans="2:7" ht="14.5" thickBot="1" x14ac:dyDescent="0.35">
      <c r="B11" s="57"/>
      <c r="C11" s="78"/>
      <c r="D11" s="57"/>
      <c r="E11" s="57"/>
      <c r="F11" s="57"/>
      <c r="G11" s="57"/>
    </row>
    <row r="12" spans="2:7" x14ac:dyDescent="0.3">
      <c r="B12" s="79"/>
      <c r="C12" s="79"/>
      <c r="D12" s="79"/>
      <c r="E12" s="79"/>
      <c r="F12" s="79"/>
      <c r="G12" s="79"/>
    </row>
    <row r="13" spans="2:7" ht="20" x14ac:dyDescent="0.3">
      <c r="B13" s="80" t="s">
        <v>43</v>
      </c>
      <c r="C13" s="81"/>
      <c r="D13" s="81"/>
      <c r="E13" s="81"/>
      <c r="F13" s="81"/>
      <c r="G13" s="81"/>
    </row>
    <row r="14" spans="2:7" x14ac:dyDescent="0.3">
      <c r="B14" s="82" t="s">
        <v>451</v>
      </c>
      <c r="C14" s="81"/>
      <c r="D14" s="81"/>
      <c r="E14" s="81"/>
      <c r="F14" s="81"/>
      <c r="G14" s="81"/>
    </row>
    <row r="15" spans="2:7" x14ac:dyDescent="0.3">
      <c r="B15" s="81"/>
      <c r="C15" s="81"/>
      <c r="D15" s="81"/>
      <c r="E15" s="81"/>
      <c r="F15" s="81"/>
      <c r="G15" s="81"/>
    </row>
    <row r="16" spans="2:7" ht="31" x14ac:dyDescent="0.3">
      <c r="B16" s="83" t="s">
        <v>52</v>
      </c>
      <c r="C16" s="84" t="s">
        <v>510</v>
      </c>
      <c r="D16" s="83" t="s">
        <v>53</v>
      </c>
      <c r="E16" s="85" t="s">
        <v>54</v>
      </c>
      <c r="F16" s="84" t="s">
        <v>55</v>
      </c>
      <c r="G16" s="84" t="s">
        <v>543</v>
      </c>
    </row>
    <row r="17" spans="2:11" x14ac:dyDescent="0.3">
      <c r="B17" s="86" t="s">
        <v>7</v>
      </c>
      <c r="C17" s="87" t="s">
        <v>24</v>
      </c>
      <c r="D17" s="88" t="str">
        <f>IF(Overview!$C$15="","",Overview!$C$15)</f>
        <v>2019-20</v>
      </c>
      <c r="E17" s="52"/>
      <c r="F17" s="89">
        <f>IFERROR(VLOOKUP(Overview!$C$15,'GHG Emission Factors'!$B:$DJ,3,0),"")</f>
        <v>0.18385000000000001</v>
      </c>
      <c r="G17" s="90" t="str">
        <f>IF(E17="","Enter Consumption Figure",(E17*F17)/1000)</f>
        <v>Enter Consumption Figure</v>
      </c>
    </row>
    <row r="18" spans="2:11" x14ac:dyDescent="0.3">
      <c r="B18" s="86" t="s">
        <v>443</v>
      </c>
      <c r="C18" s="17" t="s">
        <v>24</v>
      </c>
      <c r="D18" s="88" t="str">
        <f>IF(Overview!$C$15="","",Overview!$C$15)</f>
        <v>2019-20</v>
      </c>
      <c r="E18" s="52"/>
      <c r="F18" s="89">
        <f>IF(C18="kWh (Gross CV)",VLOOKUP(Overview!$C$15,'GHG Emission Factors'!$B:$DJ,4,0),VLOOKUP(Overview!$C$15,'GHG Emission Factors'!$B:$DJ,11,0))</f>
        <v>0.24675</v>
      </c>
      <c r="G18" s="90" t="str">
        <f t="shared" ref="G18:G20" si="0">IF(E18="","Enter Consumption Figure",(E18*F18)/1000)</f>
        <v>Enter Consumption Figure</v>
      </c>
    </row>
    <row r="19" spans="2:11" x14ac:dyDescent="0.3">
      <c r="B19" s="86" t="s">
        <v>444</v>
      </c>
      <c r="C19" s="17" t="s">
        <v>24</v>
      </c>
      <c r="D19" s="88" t="str">
        <f>IF(Overview!$C$15="","",Overview!$C$15)</f>
        <v>2019-20</v>
      </c>
      <c r="E19" s="52"/>
      <c r="F19" s="89">
        <f>IF(C19="kWh (Gross CV)",VLOOKUP(Overview!$C$15,'GHG Emission Factors'!$B:$DJ,5,0),VLOOKUP(Overview!$C$15,'GHG Emission Factors'!$B:$DJ,12,0))</f>
        <v>0.25675999999999999</v>
      </c>
      <c r="G19" s="90" t="str">
        <f t="shared" si="0"/>
        <v>Enter Consumption Figure</v>
      </c>
    </row>
    <row r="20" spans="2:11" x14ac:dyDescent="0.3">
      <c r="B20" s="86" t="s">
        <v>445</v>
      </c>
      <c r="C20" s="87" t="s">
        <v>24</v>
      </c>
      <c r="D20" s="88" t="str">
        <f>IF(Overview!$C$15="","",Overview!$C$15)</f>
        <v>2019-20</v>
      </c>
      <c r="E20" s="52"/>
      <c r="F20" s="89">
        <f>IFERROR(VLOOKUP(Overview!$C$15,'GHG Emission Factors'!$B:$DJ,6,0),"")</f>
        <v>1.5630000000000002E-2</v>
      </c>
      <c r="G20" s="90" t="str">
        <f t="shared" si="0"/>
        <v>Enter Consumption Figure</v>
      </c>
    </row>
    <row r="21" spans="2:11" x14ac:dyDescent="0.3">
      <c r="B21" s="92" t="s">
        <v>606</v>
      </c>
      <c r="C21" s="87" t="s">
        <v>24</v>
      </c>
      <c r="D21" s="88" t="str">
        <f>IF(Overview!$C$15="","",Overview!$C$15)</f>
        <v>2019-20</v>
      </c>
      <c r="E21" s="52"/>
      <c r="F21" s="89">
        <f>IFERROR(VLOOKUP(Overview!$C$15,'GHG Emission Factors'!$B:$DJ,7,0),"")</f>
        <v>1.5630000000000002E-2</v>
      </c>
      <c r="G21" s="90" t="str">
        <f>IF(E21="","Enter Consumption Figure",(E21*F21)/1000)</f>
        <v>Enter Consumption Figure</v>
      </c>
    </row>
    <row r="22" spans="2:11" x14ac:dyDescent="0.3">
      <c r="B22" s="124" t="s">
        <v>574</v>
      </c>
      <c r="C22" s="107" t="s">
        <v>24</v>
      </c>
      <c r="D22" s="108" t="str">
        <f>IF(Overview!$C$15="","",Overview!$C$15)</f>
        <v>2019-20</v>
      </c>
      <c r="E22" s="52"/>
      <c r="F22" s="109">
        <f>IFERROR(VLOOKUP(Overview!$C$15,'GHG Emission Factors'!$B:$DJ,8,0),"")</f>
        <v>0.21446999999999999</v>
      </c>
      <c r="G22" s="110" t="str">
        <f>IF(E22="","Enter Consumption Figure",(E22*F22)/1000)</f>
        <v>Enter Consumption Figure</v>
      </c>
    </row>
    <row r="23" spans="2:11" x14ac:dyDescent="0.3">
      <c r="B23" s="124" t="s">
        <v>674</v>
      </c>
      <c r="C23" s="107" t="s">
        <v>24</v>
      </c>
      <c r="D23" s="108" t="str">
        <f>IF(Overview!$C$15="","",Overview!$C$15)</f>
        <v>2019-20</v>
      </c>
      <c r="E23" s="52"/>
      <c r="F23" s="109">
        <f>IFERROR(VLOOKUP(Overview!$C$15,'GHG Emission Factors'!$B:$DJ,9,0),"")</f>
        <v>0.21410999999999999</v>
      </c>
      <c r="G23" s="110" t="str">
        <f>IF(E23="","Enter Consumption Figure",(E23*F23)/1000)</f>
        <v>Enter Consumption Figure</v>
      </c>
    </row>
    <row r="24" spans="2:11" x14ac:dyDescent="0.3">
      <c r="B24" s="124" t="s">
        <v>576</v>
      </c>
      <c r="C24" s="107" t="s">
        <v>24</v>
      </c>
      <c r="D24" s="108" t="str">
        <f>IF(Overview!$C$15="","",Overview!$C$15)</f>
        <v>2019-20</v>
      </c>
      <c r="E24" s="52"/>
      <c r="F24" s="109">
        <f>IFERROR(VLOOKUP(Overview!$C$15,'GHG Emission Factors'!$B:$DJ,10,0),"")</f>
        <v>0.30560999999999999</v>
      </c>
      <c r="G24" s="110" t="str">
        <f>IF(E24="","Enter Consumption Figure",(E24*F24)/1000)</f>
        <v>Enter Consumption Figure</v>
      </c>
    </row>
    <row r="25" spans="2:11" x14ac:dyDescent="0.3">
      <c r="B25" s="81"/>
      <c r="C25" s="91"/>
      <c r="D25" s="91"/>
      <c r="E25" s="81"/>
      <c r="F25" s="91"/>
      <c r="G25" s="91"/>
    </row>
    <row r="26" spans="2:11" x14ac:dyDescent="0.3">
      <c r="B26" s="82" t="s">
        <v>496</v>
      </c>
      <c r="C26" s="91"/>
      <c r="D26" s="91"/>
      <c r="E26" s="81"/>
      <c r="F26" s="91"/>
      <c r="G26" s="91"/>
    </row>
    <row r="27" spans="2:11" x14ac:dyDescent="0.3">
      <c r="B27" s="81"/>
      <c r="C27" s="91"/>
      <c r="D27" s="91"/>
      <c r="E27" s="81"/>
      <c r="F27" s="91"/>
      <c r="G27" s="91"/>
    </row>
    <row r="28" spans="2:11" ht="42" x14ac:dyDescent="0.3">
      <c r="B28" s="84" t="s">
        <v>497</v>
      </c>
      <c r="C28" s="84" t="s">
        <v>510</v>
      </c>
      <c r="D28" s="83" t="s">
        <v>53</v>
      </c>
      <c r="E28" s="85" t="s">
        <v>54</v>
      </c>
      <c r="F28" s="84" t="s">
        <v>55</v>
      </c>
      <c r="G28" s="84" t="s">
        <v>543</v>
      </c>
      <c r="K28" s="69"/>
    </row>
    <row r="29" spans="2:11" x14ac:dyDescent="0.3">
      <c r="B29" s="86" t="s">
        <v>463</v>
      </c>
      <c r="C29" s="17" t="s">
        <v>25</v>
      </c>
      <c r="D29" s="88" t="str">
        <f>IF(Overview!$C$15="","",Overview!$C$15)</f>
        <v>2019-20</v>
      </c>
      <c r="E29" s="52"/>
      <c r="F29" s="89">
        <f>IF(C29="Miles",VLOOKUP(Overview!$C$15,'GHG Emission Factors'!$B:$DJ,16,0),VLOOKUP(Overview!$C$15,'GHG Emission Factors'!$B:$DJ,41,0))</f>
        <v>0.22868000000000002</v>
      </c>
      <c r="G29" s="90" t="str">
        <f t="shared" ref="G29:G47" si="1">IF(E29="","Enter Consumption Figure",(E29*F29)/1000)</f>
        <v>Enter Consumption Figure</v>
      </c>
    </row>
    <row r="30" spans="2:11" x14ac:dyDescent="0.3">
      <c r="B30" s="86" t="s">
        <v>467</v>
      </c>
      <c r="C30" s="17" t="s">
        <v>25</v>
      </c>
      <c r="D30" s="88" t="str">
        <f>IF(Overview!$C$15="","",Overview!$C$15)</f>
        <v>2019-20</v>
      </c>
      <c r="E30" s="52"/>
      <c r="F30" s="89">
        <f>IF(C30="Miles",VLOOKUP(Overview!$C$15,'GHG Emission Factors'!$B:$DJ,17,0),VLOOKUP(Overview!$C$15,'GHG Emission Factors'!$B:$DJ,41,0))</f>
        <v>0.27459</v>
      </c>
      <c r="G30" s="90" t="str">
        <f t="shared" si="1"/>
        <v>Enter Consumption Figure</v>
      </c>
    </row>
    <row r="31" spans="2:11" x14ac:dyDescent="0.3">
      <c r="B31" s="86" t="s">
        <v>504</v>
      </c>
      <c r="C31" s="17" t="s">
        <v>25</v>
      </c>
      <c r="D31" s="88" t="str">
        <f>IF(Overview!$C$15="","",Overview!$C$15)</f>
        <v>2019-20</v>
      </c>
      <c r="E31" s="52"/>
      <c r="F31" s="89">
        <f>IF(C31="Miles",VLOOKUP(Overview!$C$15,'GHG Emission Factors'!$B:$DJ,18,0),VLOOKUP(Overview!$C$15,'GHG Emission Factors'!$B:$DJ,41,0))</f>
        <v>0.33712999999999999</v>
      </c>
      <c r="G31" s="90" t="str">
        <f t="shared" si="1"/>
        <v>Enter Consumption Figure</v>
      </c>
    </row>
    <row r="32" spans="2:11" x14ac:dyDescent="0.3">
      <c r="B32" s="86" t="s">
        <v>500</v>
      </c>
      <c r="C32" s="17" t="s">
        <v>25</v>
      </c>
      <c r="D32" s="88" t="str">
        <f>IF(Overview!$C$15="","",Overview!$C$15)</f>
        <v>2019-20</v>
      </c>
      <c r="E32" s="52"/>
      <c r="F32" s="89">
        <f>IF(C32="Miles",VLOOKUP(Overview!$C$15,'GHG Emission Factors'!$B:$DJ,19,0),VLOOKUP(Overview!$C$15,'GHG Emission Factors'!$B:$DJ,41,0))</f>
        <v>0.29132999999999998</v>
      </c>
      <c r="G32" s="90" t="str">
        <f t="shared" si="1"/>
        <v>Enter Consumption Figure</v>
      </c>
    </row>
    <row r="33" spans="2:7" x14ac:dyDescent="0.3">
      <c r="B33" s="86" t="s">
        <v>468</v>
      </c>
      <c r="C33" s="17" t="s">
        <v>25</v>
      </c>
      <c r="D33" s="88" t="str">
        <f>IF(Overview!$C$15="","",Overview!$C$15)</f>
        <v>2019-20</v>
      </c>
      <c r="E33" s="52"/>
      <c r="F33" s="89">
        <f>IF(C33="Miles",VLOOKUP(Overview!$C$15,'GHG Emission Factors'!$B:$DJ,20,0),VLOOKUP(Overview!$C$15,'GHG Emission Factors'!$B:$DJ,41,0))</f>
        <v>0.24068000000000001</v>
      </c>
      <c r="G33" s="90" t="str">
        <f t="shared" si="1"/>
        <v>Enter Consumption Figure</v>
      </c>
    </row>
    <row r="34" spans="2:7" x14ac:dyDescent="0.3">
      <c r="B34" s="86" t="s">
        <v>12</v>
      </c>
      <c r="C34" s="17" t="s">
        <v>25</v>
      </c>
      <c r="D34" s="88" t="str">
        <f>IF(Overview!$C$15="","",Overview!$C$15)</f>
        <v>2019-20</v>
      </c>
      <c r="E34" s="52"/>
      <c r="F34" s="89">
        <f>IF(C34="Miles",VLOOKUP(Overview!$C$15,'GHG Emission Factors'!$B:$DJ,21,0),VLOOKUP(Overview!$C$15,'GHG Emission Factors'!$B:$DJ,41,0))</f>
        <v>0.31309999999999999</v>
      </c>
      <c r="G34" s="90" t="str">
        <f t="shared" si="1"/>
        <v>Enter Consumption Figure</v>
      </c>
    </row>
    <row r="35" spans="2:7" x14ac:dyDescent="0.3">
      <c r="B35" s="86" t="s">
        <v>13</v>
      </c>
      <c r="C35" s="17" t="s">
        <v>25</v>
      </c>
      <c r="D35" s="88" t="str">
        <f>IF(Overview!$C$15="","",Overview!$C$15)</f>
        <v>2019-20</v>
      </c>
      <c r="E35" s="52"/>
      <c r="F35" s="89">
        <f>IF(C35="Miles",VLOOKUP(Overview!$C$15,'GHG Emission Factors'!$B:$DJ,22,0),VLOOKUP(Overview!$C$15,'GHG Emission Factors'!$B:$DJ,41,0))</f>
        <v>0.44702999999999998</v>
      </c>
      <c r="G35" s="90" t="str">
        <f t="shared" si="1"/>
        <v>Enter Consumption Figure</v>
      </c>
    </row>
    <row r="36" spans="2:7" x14ac:dyDescent="0.3">
      <c r="B36" s="86" t="s">
        <v>14</v>
      </c>
      <c r="C36" s="17" t="s">
        <v>25</v>
      </c>
      <c r="D36" s="88" t="str">
        <f>IF(Overview!$C$15="","",Overview!$C$15)</f>
        <v>2019-20</v>
      </c>
      <c r="E36" s="52"/>
      <c r="F36" s="89">
        <f>IF(C36="Miles",VLOOKUP(Overview!$C$15,'GHG Emission Factors'!$B:$DJ,23,0),VLOOKUP(Overview!$C$15,'GHG Emission Factors'!$B:$DJ,41,0))</f>
        <v>0.32601999999999998</v>
      </c>
      <c r="G36" s="90" t="str">
        <f t="shared" si="1"/>
        <v>Enter Consumption Figure</v>
      </c>
    </row>
    <row r="37" spans="2:7" x14ac:dyDescent="0.3">
      <c r="B37" s="86" t="s">
        <v>501</v>
      </c>
      <c r="C37" s="17" t="s">
        <v>25</v>
      </c>
      <c r="D37" s="88" t="str">
        <f>IF(Overview!$C$15="","",Overview!$C$15)</f>
        <v>2019-20</v>
      </c>
      <c r="E37" s="52"/>
      <c r="F37" s="89">
        <f>IF(C37="Miles",VLOOKUP(Overview!$C$15,'GHG Emission Factors'!$B:$DJ,24,0),VLOOKUP(Overview!$C$15,'GHG Emission Factors'!$B:$DJ,41,0))</f>
        <v>0.29132999999999998</v>
      </c>
      <c r="G37" s="90" t="str">
        <f t="shared" si="1"/>
        <v>Enter Consumption Figure</v>
      </c>
    </row>
    <row r="38" spans="2:7" x14ac:dyDescent="0.3">
      <c r="B38" s="86" t="s">
        <v>502</v>
      </c>
      <c r="C38" s="17" t="s">
        <v>25</v>
      </c>
      <c r="D38" s="88" t="str">
        <f>IF(Overview!$C$15="","",Overview!$C$15)</f>
        <v>2019-20</v>
      </c>
      <c r="E38" s="52"/>
      <c r="F38" s="89">
        <f>IF(C38="Miles",VLOOKUP(Overview!$C$15,'GHG Emission Factors'!$B:$DJ,25,0),VLOOKUP(Overview!$C$15,'GHG Emission Factors'!$B:$DJ,42,0))</f>
        <v>0.24736</v>
      </c>
      <c r="G38" s="90" t="str">
        <f t="shared" si="1"/>
        <v>Enter Consumption Figure</v>
      </c>
    </row>
    <row r="39" spans="2:7" x14ac:dyDescent="0.3">
      <c r="B39" s="86" t="s">
        <v>506</v>
      </c>
      <c r="C39" s="17" t="s">
        <v>25</v>
      </c>
      <c r="D39" s="88" t="str">
        <f>IF(Overview!$C$15="","",Overview!$C$15)</f>
        <v>2019-20</v>
      </c>
      <c r="E39" s="52"/>
      <c r="F39" s="89">
        <f>IF(C39="Miles",VLOOKUP(Overview!$C$15,'GHG Emission Factors'!$B:$DJ,26,0),VLOOKUP(Overview!$C$15,'GHG Emission Factors'!$B:$DJ,42,0))</f>
        <v>0.30945</v>
      </c>
      <c r="G39" s="90" t="str">
        <f t="shared" si="1"/>
        <v>Enter Consumption Figure</v>
      </c>
    </row>
    <row r="40" spans="2:7" x14ac:dyDescent="0.3">
      <c r="B40" s="86" t="s">
        <v>507</v>
      </c>
      <c r="C40" s="17" t="s">
        <v>25</v>
      </c>
      <c r="D40" s="88" t="str">
        <f>IF(Overview!$C$15="","",Overview!$C$15)</f>
        <v>2019-20</v>
      </c>
      <c r="E40" s="52"/>
      <c r="F40" s="89">
        <f>IF(C40="Miles",VLOOKUP(Overview!$C$15,'GHG Emission Factors'!$B:$DJ,27,0),VLOOKUP(Overview!$C$15,'GHG Emission Factors'!$B:$DJ,42,0))</f>
        <v>0.45535999999999999</v>
      </c>
      <c r="G40" s="90" t="str">
        <f t="shared" si="1"/>
        <v>Enter Consumption Figure</v>
      </c>
    </row>
    <row r="41" spans="2:7" x14ac:dyDescent="0.3">
      <c r="B41" s="86" t="s">
        <v>503</v>
      </c>
      <c r="C41" s="17" t="s">
        <v>25</v>
      </c>
      <c r="D41" s="88" t="str">
        <f>IF(Overview!$C$15="","",Overview!$C$15)</f>
        <v>2019-20</v>
      </c>
      <c r="E41" s="52"/>
      <c r="F41" s="89">
        <f>IF(C41="Miles",VLOOKUP(Overview!$C$15,'GHG Emission Factors'!$B:$DJ,28,0),VLOOKUP(Overview!$C$15,'GHG Emission Factors'!$B:$DJ,42,0))</f>
        <v>0.16930000000000001</v>
      </c>
      <c r="G41" s="90" t="str">
        <f t="shared" si="1"/>
        <v>Enter Consumption Figure</v>
      </c>
    </row>
    <row r="42" spans="2:7" x14ac:dyDescent="0.3">
      <c r="B42" s="86" t="s">
        <v>527</v>
      </c>
      <c r="C42" s="17" t="s">
        <v>25</v>
      </c>
      <c r="D42" s="88" t="str">
        <f>IF(Overview!$C$15="","",Overview!$C$15)</f>
        <v>2019-20</v>
      </c>
      <c r="E42" s="52"/>
      <c r="F42" s="89">
        <f>IF(C42="Miles",VLOOKUP(Overview!$C$15,'GHG Emission Factors'!$B:$DJ,29,0),VLOOKUP(Overview!$C$15,'GHG Emission Factors'!$B:$DJ,42,0))</f>
        <v>0.17534</v>
      </c>
      <c r="G42" s="90" t="str">
        <f t="shared" si="1"/>
        <v>Enter Consumption Figure</v>
      </c>
    </row>
    <row r="43" spans="2:7" x14ac:dyDescent="0.3">
      <c r="B43" s="86" t="s">
        <v>528</v>
      </c>
      <c r="C43" s="17" t="s">
        <v>25</v>
      </c>
      <c r="D43" s="88" t="str">
        <f>IF(Overview!$C$15="","",Overview!$C$15)</f>
        <v>2019-20</v>
      </c>
      <c r="E43" s="52"/>
      <c r="F43" s="89">
        <f>IF(C43="Miles",VLOOKUP(Overview!$C$15,'GHG Emission Factors'!$B:$DJ,30,0),VLOOKUP(Overview!$C$15,'GHG Emission Factors'!$B:$DJ,42,0))</f>
        <v>0.21207000000000001</v>
      </c>
      <c r="G43" s="90" t="str">
        <f t="shared" si="1"/>
        <v>Enter Consumption Figure</v>
      </c>
    </row>
    <row r="44" spans="2:7" x14ac:dyDescent="0.3">
      <c r="B44" s="86" t="s">
        <v>525</v>
      </c>
      <c r="C44" s="87" t="s">
        <v>25</v>
      </c>
      <c r="D44" s="88" t="str">
        <f>IF(Overview!$C$15="","",Overview!$C$15)</f>
        <v>2019-20</v>
      </c>
      <c r="E44" s="52"/>
      <c r="F44" s="89">
        <f>IFERROR(VLOOKUP(Overview!$C$15,'GHG Emission Factors'!$B:$DJ,31,0),"")</f>
        <v>8.931E-2</v>
      </c>
      <c r="G44" s="90" t="str">
        <f t="shared" si="1"/>
        <v>Enter Consumption Figure</v>
      </c>
    </row>
    <row r="45" spans="2:7" x14ac:dyDescent="0.3">
      <c r="B45" s="86" t="s">
        <v>526</v>
      </c>
      <c r="C45" s="87" t="s">
        <v>25</v>
      </c>
      <c r="D45" s="88" t="str">
        <f>IF(Overview!$C$15="","",Overview!$C$15)</f>
        <v>2019-20</v>
      </c>
      <c r="E45" s="52"/>
      <c r="F45" s="89">
        <f>IFERROR(VLOOKUP(Overview!$C$15,'GHG Emission Factors'!$B:$DJ,32,0),"")</f>
        <v>0.28502</v>
      </c>
      <c r="G45" s="90" t="str">
        <f t="shared" si="1"/>
        <v>Enter Consumption Figure</v>
      </c>
    </row>
    <row r="46" spans="2:7" x14ac:dyDescent="0.3">
      <c r="B46" s="86" t="s">
        <v>520</v>
      </c>
      <c r="C46" s="87" t="s">
        <v>509</v>
      </c>
      <c r="D46" s="88" t="str">
        <f>IF(Overview!$C$15="","",Overview!$C$15)</f>
        <v>2019-20</v>
      </c>
      <c r="E46" s="52"/>
      <c r="F46" s="89">
        <f>IFERROR(VLOOKUP(Overview!$C$15,'GHG Emission Factors'!$B:$DJ,41,0),"")</f>
        <v>2.5941100000000001</v>
      </c>
      <c r="G46" s="90" t="str">
        <f t="shared" si="1"/>
        <v>Enter Consumption Figure</v>
      </c>
    </row>
    <row r="47" spans="2:7" x14ac:dyDescent="0.3">
      <c r="B47" s="86" t="s">
        <v>681</v>
      </c>
      <c r="C47" s="87" t="s">
        <v>509</v>
      </c>
      <c r="D47" s="88" t="str">
        <f>IF(Overview!$C$15="","",Overview!$C$15)</f>
        <v>2019-20</v>
      </c>
      <c r="E47" s="52"/>
      <c r="F47" s="89">
        <f>IFERROR(VLOOKUP(Overview!$C$15,'GHG Emission Factors'!$B:$DJ,42,0),"")</f>
        <v>2.2090399999999999</v>
      </c>
      <c r="G47" s="90" t="str">
        <f t="shared" si="1"/>
        <v>Enter Consumption Figure</v>
      </c>
    </row>
    <row r="48" spans="2:7" x14ac:dyDescent="0.3">
      <c r="B48" s="93"/>
      <c r="C48" s="94"/>
      <c r="D48" s="94"/>
      <c r="E48" s="95"/>
      <c r="F48" s="96"/>
      <c r="G48" s="97"/>
    </row>
    <row r="49" spans="2:7" ht="14.5" thickBot="1" x14ac:dyDescent="0.35">
      <c r="B49" s="60"/>
      <c r="C49" s="60"/>
      <c r="D49" s="60"/>
      <c r="E49" s="60"/>
      <c r="F49" s="60"/>
      <c r="G49" s="60"/>
    </row>
    <row r="50" spans="2:7" x14ac:dyDescent="0.3">
      <c r="B50" s="73" t="s">
        <v>537</v>
      </c>
      <c r="C50" s="74"/>
      <c r="D50" s="74"/>
    </row>
    <row r="51" spans="2:7" x14ac:dyDescent="0.3">
      <c r="B51" s="160" t="s">
        <v>573</v>
      </c>
      <c r="C51" s="160"/>
      <c r="D51" s="160"/>
    </row>
    <row r="55" spans="2:7" x14ac:dyDescent="0.3">
      <c r="B55" s="163" t="s">
        <v>675</v>
      </c>
      <c r="C55" s="163"/>
      <c r="D55" s="163"/>
      <c r="E55" s="163"/>
      <c r="F55" s="163"/>
      <c r="G55" s="163"/>
    </row>
    <row r="56" spans="2:7" x14ac:dyDescent="0.3">
      <c r="B56" s="163"/>
      <c r="C56" s="163"/>
      <c r="D56" s="163"/>
      <c r="E56" s="163"/>
      <c r="F56" s="163"/>
      <c r="G56" s="163"/>
    </row>
  </sheetData>
  <mergeCells count="2">
    <mergeCell ref="B51:D51"/>
    <mergeCell ref="B55:G56"/>
  </mergeCells>
  <conditionalFormatting sqref="G17:G20 G29:G48">
    <cfRule type="cellIs" dxfId="25" priority="8" operator="equal">
      <formula>"Enter Consumption Figure"</formula>
    </cfRule>
  </conditionalFormatting>
  <conditionalFormatting sqref="G22">
    <cfRule type="cellIs" dxfId="24" priority="4" operator="equal">
      <formula>"Enter Consumption Figure"</formula>
    </cfRule>
  </conditionalFormatting>
  <conditionalFormatting sqref="G23">
    <cfRule type="cellIs" dxfId="23" priority="3" operator="equal">
      <formula>"Enter Consumption Figure"</formula>
    </cfRule>
  </conditionalFormatting>
  <conditionalFormatting sqref="G24">
    <cfRule type="cellIs" dxfId="22" priority="2" operator="equal">
      <formula>"Enter Consumption Figure"</formula>
    </cfRule>
  </conditionalFormatting>
  <conditionalFormatting sqref="G21">
    <cfRule type="cellIs" dxfId="21" priority="1" operator="equal">
      <formula>"Enter Consumption Figure"</formula>
    </cfRule>
  </conditionalFormatting>
  <dataValidations count="2">
    <dataValidation type="custom" allowBlank="1" showInputMessage="1" showErrorMessage="1" errorTitle="Not a Valid Value" error="The data entered is not a valid value, please click the &quot;Retry&quot; button and enter the consumption figure in a number format." sqref="E17:E24 E29:E48" xr:uid="{3B6BF43C-029A-4E8D-BDF2-BE5B5BE549D5}">
      <formula1>ISNUMBER(E17)</formula1>
    </dataValidation>
    <dataValidation allowBlank="1" showErrorMessage="1" promptTitle="Consumption Units" prompt="Please select whether Fleet data is reported in Miles or Litres" sqref="C44:C45 C46:C48" xr:uid="{EAE88110-A663-49E0-AABF-D57721F9C95E}"/>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Please select consumption units" promptTitle="Consumption Units" prompt="Please select whether Fleet data is reported in Miles or Litres" xr:uid="{F101293C-274E-4203-B2AD-F080BBCCA6D7}">
          <x14:formula1>
            <xm:f>'List Tab'!$R$4:$R$5</xm:f>
          </x14:formula1>
          <xm:sqref>C29:C43</xm:sqref>
        </x14:dataValidation>
        <x14:dataValidation type="list" allowBlank="1" showInputMessage="1" showErrorMessage="1" error="Please select consumption units" promptTitle="Consumption Units" prompt="Please select whether Heating data is reported in kWh (Gross CV) or Litres" xr:uid="{8534C182-FCBE-46E5-98BF-37CDA87ECB49}">
          <x14:formula1>
            <xm:f>'List Tab'!$T$4:$T$5</xm:f>
          </x14:formula1>
          <xm:sqref>C18:C19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13F63-9A69-4B1C-8B33-88B218236B0E}">
  <sheetPr>
    <tabColor rgb="FF00C18B"/>
  </sheetPr>
  <dimension ref="B1:I71"/>
  <sheetViews>
    <sheetView showGridLines="0" topLeftCell="A16" zoomScaleNormal="100" workbookViewId="0">
      <selection activeCell="B24" sqref="B24"/>
    </sheetView>
  </sheetViews>
  <sheetFormatPr defaultColWidth="10.58203125" defaultRowHeight="14" x14ac:dyDescent="0.3"/>
  <cols>
    <col min="1" max="1" width="8.58203125" style="53" customWidth="1"/>
    <col min="2" max="2" width="42.58203125" style="53" customWidth="1"/>
    <col min="3" max="3" width="28.6640625" style="53" bestFit="1" customWidth="1"/>
    <col min="4" max="4" width="7.83203125" style="53" bestFit="1" customWidth="1"/>
    <col min="5" max="5" width="13.08203125" style="53" bestFit="1" customWidth="1"/>
    <col min="6" max="6" width="11.33203125" style="53" bestFit="1" customWidth="1"/>
    <col min="7" max="8" width="23" style="53" bestFit="1" customWidth="1"/>
    <col min="9" max="9" width="8.58203125" style="53" customWidth="1"/>
    <col min="10" max="16384" width="10.58203125" style="53"/>
  </cols>
  <sheetData>
    <row r="1" spans="2:9" s="57" customFormat="1" x14ac:dyDescent="0.3"/>
    <row r="2" spans="2:9" s="57" customFormat="1" x14ac:dyDescent="0.3"/>
    <row r="3" spans="2:9" s="57" customFormat="1" x14ac:dyDescent="0.3"/>
    <row r="4" spans="2:9" s="57" customFormat="1" x14ac:dyDescent="0.3">
      <c r="F4" s="53"/>
      <c r="G4" s="53"/>
      <c r="H4" s="53"/>
    </row>
    <row r="5" spans="2:9" s="57" customFormat="1" x14ac:dyDescent="0.3">
      <c r="F5" s="53"/>
      <c r="G5" s="53"/>
      <c r="H5" s="53"/>
    </row>
    <row r="6" spans="2:9" s="57" customFormat="1" x14ac:dyDescent="0.3">
      <c r="F6" s="53"/>
      <c r="G6" s="53"/>
      <c r="H6" s="53"/>
    </row>
    <row r="7" spans="2:9" s="57" customFormat="1" x14ac:dyDescent="0.3">
      <c r="F7" s="53"/>
      <c r="G7" s="53"/>
      <c r="H7" s="53"/>
    </row>
    <row r="8" spans="2:9" s="57" customFormat="1" x14ac:dyDescent="0.3">
      <c r="B8" s="164" t="s">
        <v>536</v>
      </c>
      <c r="C8" s="164"/>
      <c r="E8" s="53"/>
      <c r="F8" s="53"/>
      <c r="G8" s="53"/>
    </row>
    <row r="9" spans="2:9" s="57" customFormat="1" x14ac:dyDescent="0.3">
      <c r="B9" s="165" t="s">
        <v>457</v>
      </c>
      <c r="C9" s="165"/>
      <c r="E9" s="53"/>
      <c r="F9" s="53"/>
      <c r="G9" s="53"/>
    </row>
    <row r="10" spans="2:9" s="57" customFormat="1" x14ac:dyDescent="0.3">
      <c r="B10" s="166" t="s">
        <v>460</v>
      </c>
      <c r="C10" s="166"/>
      <c r="E10" s="53"/>
      <c r="F10" s="53"/>
      <c r="G10" s="53"/>
    </row>
    <row r="11" spans="2:9" s="57" customFormat="1" x14ac:dyDescent="0.3">
      <c r="B11" s="167" t="s">
        <v>458</v>
      </c>
      <c r="C11" s="167"/>
      <c r="E11" s="53"/>
      <c r="F11" s="53"/>
      <c r="G11" s="53"/>
    </row>
    <row r="12" spans="2:9" ht="14.5" thickBot="1" x14ac:dyDescent="0.35">
      <c r="B12" s="100"/>
      <c r="C12" s="100"/>
      <c r="D12" s="100"/>
      <c r="E12" s="100"/>
      <c r="F12" s="100"/>
      <c r="G12" s="100"/>
      <c r="H12" s="100"/>
      <c r="I12" s="100"/>
    </row>
    <row r="13" spans="2:9" x14ac:dyDescent="0.3">
      <c r="B13" s="81"/>
      <c r="C13" s="81"/>
      <c r="D13" s="81"/>
      <c r="E13" s="81"/>
      <c r="F13" s="81"/>
      <c r="G13" s="81"/>
      <c r="H13" s="81"/>
    </row>
    <row r="14" spans="2:9" ht="20" x14ac:dyDescent="0.3">
      <c r="B14" s="80" t="s">
        <v>44</v>
      </c>
      <c r="C14" s="81"/>
      <c r="D14" s="81"/>
      <c r="E14" s="81"/>
      <c r="F14" s="81"/>
      <c r="G14" s="81"/>
      <c r="H14" s="81"/>
    </row>
    <row r="15" spans="2:9" x14ac:dyDescent="0.3">
      <c r="B15" s="82" t="s">
        <v>40</v>
      </c>
      <c r="C15" s="81"/>
      <c r="D15" s="81"/>
      <c r="E15" s="81"/>
      <c r="F15" s="81"/>
      <c r="G15" s="81"/>
      <c r="H15" s="81"/>
    </row>
    <row r="16" spans="2:9" x14ac:dyDescent="0.3">
      <c r="B16" s="81"/>
      <c r="C16" s="81"/>
      <c r="D16" s="81"/>
      <c r="E16" s="81"/>
      <c r="F16" s="81"/>
      <c r="G16" s="81"/>
      <c r="H16" s="81"/>
    </row>
    <row r="17" spans="2:8" ht="31" x14ac:dyDescent="0.3">
      <c r="B17" s="83" t="s">
        <v>52</v>
      </c>
      <c r="C17" s="83" t="s">
        <v>448</v>
      </c>
      <c r="D17" s="83" t="s">
        <v>53</v>
      </c>
      <c r="E17" s="83" t="s">
        <v>54</v>
      </c>
      <c r="F17" s="84" t="s">
        <v>55</v>
      </c>
      <c r="G17" s="84" t="s">
        <v>543</v>
      </c>
      <c r="H17" s="81"/>
    </row>
    <row r="18" spans="2:8" x14ac:dyDescent="0.3">
      <c r="B18" s="86" t="s">
        <v>446</v>
      </c>
      <c r="C18" s="87" t="s">
        <v>26</v>
      </c>
      <c r="D18" s="88" t="str">
        <f>IF(Overview!$C$15="","",Overview!$C$15)</f>
        <v>2019-20</v>
      </c>
      <c r="E18" s="52">
        <v>30000</v>
      </c>
      <c r="F18" s="89">
        <f>IFERROR(VLOOKUP(Overview!$C$15,'GHG Emission Factors'!$B:$DJ,43,0),"")</f>
        <v>0.25559999999999999</v>
      </c>
      <c r="G18" s="90">
        <f t="shared" ref="G18" si="0">IF(E18="","Enter Consumption Figure",(E18*F18)/1000)</f>
        <v>7.6680000000000001</v>
      </c>
      <c r="H18" s="81"/>
    </row>
    <row r="19" spans="2:8" x14ac:dyDescent="0.3">
      <c r="B19" s="98"/>
      <c r="C19" s="117"/>
      <c r="D19" s="113"/>
      <c r="E19" s="113"/>
      <c r="F19" s="113"/>
      <c r="G19" s="113"/>
      <c r="H19" s="81"/>
    </row>
    <row r="20" spans="2:8" x14ac:dyDescent="0.3">
      <c r="B20" s="1" t="s">
        <v>585</v>
      </c>
      <c r="C20" s="117"/>
      <c r="D20" s="113"/>
      <c r="E20" s="113"/>
      <c r="F20" s="113"/>
      <c r="G20" s="113"/>
      <c r="H20" s="81"/>
    </row>
    <row r="21" spans="2:8" x14ac:dyDescent="0.3">
      <c r="B21" s="1" t="s">
        <v>680</v>
      </c>
      <c r="C21" s="117"/>
      <c r="D21" s="113"/>
      <c r="E21" s="113"/>
      <c r="F21" s="113"/>
      <c r="G21" s="113"/>
      <c r="H21" s="81"/>
    </row>
    <row r="22" spans="2:8" x14ac:dyDescent="0.3">
      <c r="B22" s="1"/>
      <c r="C22" s="117"/>
      <c r="D22" s="113"/>
      <c r="E22" s="113"/>
      <c r="F22" s="113"/>
      <c r="G22" s="113"/>
      <c r="H22" s="81"/>
    </row>
    <row r="23" spans="2:8" x14ac:dyDescent="0.3">
      <c r="B23" s="1"/>
      <c r="C23" s="117"/>
      <c r="D23" s="113"/>
      <c r="E23" s="113"/>
      <c r="F23" s="113"/>
      <c r="G23" s="113"/>
      <c r="H23" s="81"/>
    </row>
    <row r="24" spans="2:8" ht="31" x14ac:dyDescent="0.3">
      <c r="B24" s="15" t="s">
        <v>52</v>
      </c>
      <c r="C24" s="15" t="s">
        <v>448</v>
      </c>
      <c r="D24" s="15" t="s">
        <v>53</v>
      </c>
      <c r="E24" s="15" t="s">
        <v>54</v>
      </c>
      <c r="F24" s="105" t="s">
        <v>55</v>
      </c>
      <c r="G24" s="105" t="s">
        <v>543</v>
      </c>
      <c r="H24" s="81"/>
    </row>
    <row r="25" spans="2:8" x14ac:dyDescent="0.3">
      <c r="B25" s="124" t="s">
        <v>577</v>
      </c>
      <c r="C25" s="107" t="s">
        <v>25</v>
      </c>
      <c r="D25" s="108" t="str">
        <f>IF(Overview!$C$15="","",Overview!$C$15)</f>
        <v>2019-20</v>
      </c>
      <c r="E25" s="52"/>
      <c r="F25" s="109">
        <f>IFERROR(VLOOKUP(Overview!$C$15,'GHG Emission Factors'!$B:$DJ,44,0),"")</f>
        <v>6.5450000000000008E-2</v>
      </c>
      <c r="G25" s="110" t="str">
        <f t="shared" ref="G25:G32" si="1">IF(E25="","Enter Consumption Figure",(E25*F25)/1000)</f>
        <v>Enter Consumption Figure</v>
      </c>
      <c r="H25" s="81"/>
    </row>
    <row r="26" spans="2:8" x14ac:dyDescent="0.3">
      <c r="B26" s="124" t="s">
        <v>578</v>
      </c>
      <c r="C26" s="107" t="s">
        <v>25</v>
      </c>
      <c r="D26" s="108" t="str">
        <f>IF(Overview!$C$15="","",Overview!$C$15)</f>
        <v>2019-20</v>
      </c>
      <c r="E26" s="52"/>
      <c r="F26" s="109">
        <f>IFERROR(VLOOKUP(Overview!$C$15,'GHG Emission Factors'!$B:$DJ,45,0),"")</f>
        <v>5.8069999999999997E-2</v>
      </c>
      <c r="G26" s="110" t="str">
        <f t="shared" si="1"/>
        <v>Enter Consumption Figure</v>
      </c>
      <c r="H26" s="81"/>
    </row>
    <row r="27" spans="2:8" x14ac:dyDescent="0.3">
      <c r="B27" s="124" t="s">
        <v>579</v>
      </c>
      <c r="C27" s="107" t="s">
        <v>25</v>
      </c>
      <c r="D27" s="108" t="str">
        <f>IF(Overview!$C$15="","",Overview!$C$15)</f>
        <v>2019-20</v>
      </c>
      <c r="E27" s="52"/>
      <c r="F27" s="109">
        <f>IFERROR(VLOOKUP(Overview!$C$15,'GHG Emission Factors'!$B:$DJ,46,0),"")</f>
        <v>7.1730000000000002E-2</v>
      </c>
      <c r="G27" s="110" t="str">
        <f t="shared" si="1"/>
        <v>Enter Consumption Figure</v>
      </c>
      <c r="H27" s="81"/>
    </row>
    <row r="28" spans="2:8" x14ac:dyDescent="0.3">
      <c r="B28" s="124" t="s">
        <v>580</v>
      </c>
      <c r="C28" s="107" t="s">
        <v>25</v>
      </c>
      <c r="D28" s="108" t="str">
        <f>IF(Overview!$C$15="","",Overview!$C$15)</f>
        <v>2019-20</v>
      </c>
      <c r="E28" s="52"/>
      <c r="F28" s="109">
        <f>IFERROR(VLOOKUP(Overview!$C$15,'GHG Emission Factors'!$B:$DJ,47,0),"")</f>
        <v>6.6100000000000006E-2</v>
      </c>
      <c r="G28" s="110" t="str">
        <f t="shared" si="1"/>
        <v>Enter Consumption Figure</v>
      </c>
      <c r="H28" s="81"/>
    </row>
    <row r="29" spans="2:8" x14ac:dyDescent="0.3">
      <c r="B29" s="124" t="s">
        <v>581</v>
      </c>
      <c r="C29" s="107" t="s">
        <v>25</v>
      </c>
      <c r="D29" s="108" t="str">
        <f>IF(Overview!$C$15="","",Overview!$C$15)</f>
        <v>2019-20</v>
      </c>
      <c r="E29" s="52"/>
      <c r="F29" s="109">
        <f>IFERROR(VLOOKUP(Overview!$C$15,'GHG Emission Factors'!$B:$DJ,48,0),"")</f>
        <v>7.3499999999999996E-2</v>
      </c>
      <c r="G29" s="110" t="str">
        <f t="shared" si="1"/>
        <v>Enter Consumption Figure</v>
      </c>
      <c r="H29" s="81"/>
    </row>
    <row r="30" spans="2:8" x14ac:dyDescent="0.3">
      <c r="B30" s="124" t="s">
        <v>582</v>
      </c>
      <c r="C30" s="107" t="s">
        <v>25</v>
      </c>
      <c r="D30" s="108" t="str">
        <f>IF(Overview!$C$15="","",Overview!$C$15)</f>
        <v>2019-20</v>
      </c>
      <c r="E30" s="52"/>
      <c r="F30" s="109">
        <f>IFERROR(VLOOKUP(Overview!$C$15,'GHG Emission Factors'!$B:$DJ,49,0),"")</f>
        <v>8.5569999999999993E-2</v>
      </c>
      <c r="G30" s="110" t="str">
        <f t="shared" si="1"/>
        <v>Enter Consumption Figure</v>
      </c>
      <c r="H30" s="81"/>
    </row>
    <row r="31" spans="2:8" x14ac:dyDescent="0.3">
      <c r="B31" s="124" t="s">
        <v>583</v>
      </c>
      <c r="C31" s="107" t="s">
        <v>25</v>
      </c>
      <c r="D31" s="108" t="str">
        <f>IF(Overview!$C$15="","",Overview!$C$15)</f>
        <v>2019-20</v>
      </c>
      <c r="E31" s="52"/>
      <c r="F31" s="109">
        <f>IFERROR(VLOOKUP(Overview!$C$15,'GHG Emission Factors'!$B:$DJ,50,0),"")</f>
        <v>0.10764</v>
      </c>
      <c r="G31" s="110" t="str">
        <f t="shared" si="1"/>
        <v>Enter Consumption Figure</v>
      </c>
      <c r="H31" s="81"/>
    </row>
    <row r="32" spans="2:8" x14ac:dyDescent="0.3">
      <c r="B32" s="124" t="s">
        <v>584</v>
      </c>
      <c r="C32" s="107" t="s">
        <v>25</v>
      </c>
      <c r="D32" s="108" t="str">
        <f>IF(Overview!$C$15="","",Overview!$C$15)</f>
        <v>2019-20</v>
      </c>
      <c r="E32" s="52"/>
      <c r="F32" s="109">
        <f>IFERROR(VLOOKUP(Overview!$C$15,'GHG Emission Factors'!$B:$DJ,51,0),"")</f>
        <v>8.9309999999999987E-2</v>
      </c>
      <c r="G32" s="110" t="str">
        <f t="shared" si="1"/>
        <v>Enter Consumption Figure</v>
      </c>
      <c r="H32" s="81"/>
    </row>
    <row r="33" spans="2:9" x14ac:dyDescent="0.3">
      <c r="B33" s="1"/>
      <c r="C33" s="117"/>
      <c r="D33" s="113"/>
      <c r="E33" s="113"/>
      <c r="F33" s="113"/>
      <c r="G33" s="113"/>
      <c r="H33" s="81"/>
    </row>
    <row r="34" spans="2:9" x14ac:dyDescent="0.3">
      <c r="B34" s="1" t="s">
        <v>586</v>
      </c>
      <c r="C34" s="117"/>
      <c r="D34" s="113"/>
      <c r="E34" s="113"/>
      <c r="F34" s="113"/>
      <c r="G34" s="113"/>
      <c r="H34" s="81"/>
    </row>
    <row r="35" spans="2:9" x14ac:dyDescent="0.3">
      <c r="B35" s="1"/>
      <c r="C35" s="117"/>
      <c r="D35" s="113"/>
      <c r="E35" s="113"/>
      <c r="F35" s="113"/>
      <c r="G35" s="113"/>
      <c r="H35" s="81"/>
    </row>
    <row r="36" spans="2:9" ht="42" x14ac:dyDescent="0.3">
      <c r="B36" s="105" t="s">
        <v>497</v>
      </c>
      <c r="C36" s="15" t="s">
        <v>448</v>
      </c>
      <c r="D36" s="15" t="s">
        <v>53</v>
      </c>
      <c r="E36" s="15" t="s">
        <v>54</v>
      </c>
      <c r="F36" s="105" t="s">
        <v>55</v>
      </c>
      <c r="G36" s="105" t="s">
        <v>543</v>
      </c>
      <c r="H36" s="81"/>
    </row>
    <row r="37" spans="2:9" x14ac:dyDescent="0.3">
      <c r="B37" s="124" t="s">
        <v>587</v>
      </c>
      <c r="C37" s="107" t="s">
        <v>25</v>
      </c>
      <c r="D37" s="108" t="str">
        <f>IF(Overview!$C$15="","",Overview!$C$15)</f>
        <v>2019-20</v>
      </c>
      <c r="E37" s="52"/>
      <c r="F37" s="109">
        <f>IFERROR(VLOOKUP(Overview!$C$15,'GHG Emission Factors'!$B:$DJ,52,0),"")</f>
        <v>7.3499999999999996E-2</v>
      </c>
      <c r="G37" s="110" t="str">
        <f>IF(E37="","Enter Consumption Figure",(E37*F37)/1000)</f>
        <v>Enter Consumption Figure</v>
      </c>
      <c r="H37" s="81"/>
    </row>
    <row r="38" spans="2:9" x14ac:dyDescent="0.3">
      <c r="B38" s="124" t="s">
        <v>588</v>
      </c>
      <c r="C38" s="107" t="s">
        <v>25</v>
      </c>
      <c r="D38" s="108" t="str">
        <f>IF(Overview!$C$15="","",Overview!$C$15)</f>
        <v>2019-20</v>
      </c>
      <c r="E38" s="52"/>
      <c r="F38" s="109">
        <f>IFERROR(VLOOKUP(Overview!$C$15,'GHG Emission Factors'!$B:$DJ,53,0),"")</f>
        <v>8.5569999999999993E-2</v>
      </c>
      <c r="G38" s="110" t="str">
        <f>IF(E38="","Enter Consumption Figure",(E38*F38)/1000)</f>
        <v>Enter Consumption Figure</v>
      </c>
      <c r="H38" s="81"/>
    </row>
    <row r="39" spans="2:9" x14ac:dyDescent="0.3">
      <c r="B39" s="124" t="s">
        <v>589</v>
      </c>
      <c r="C39" s="107" t="s">
        <v>25</v>
      </c>
      <c r="D39" s="108" t="str">
        <f>IF(Overview!$C$15="","",Overview!$C$15)</f>
        <v>2019-20</v>
      </c>
      <c r="E39" s="52"/>
      <c r="F39" s="109">
        <f>IFERROR(VLOOKUP(Overview!$C$15,'GHG Emission Factors'!$B:$DJ,54,0),"")</f>
        <v>0.10764</v>
      </c>
      <c r="G39" s="110" t="str">
        <f>IF(E39="","Enter Consumption Figure",(E39*F39)/1000)</f>
        <v>Enter Consumption Figure</v>
      </c>
      <c r="H39" s="81"/>
    </row>
    <row r="40" spans="2:9" x14ac:dyDescent="0.3">
      <c r="B40" s="124" t="s">
        <v>590</v>
      </c>
      <c r="C40" s="107" t="s">
        <v>25</v>
      </c>
      <c r="D40" s="108" t="str">
        <f>IF(Overview!$C$15="","",Overview!$C$15)</f>
        <v>2019-20</v>
      </c>
      <c r="E40" s="52"/>
      <c r="F40" s="109">
        <f>IFERROR(VLOOKUP(Overview!$C$15,'GHG Emission Factors'!$B:$DJ,55,0),"")</f>
        <v>8.9309999999999987E-2</v>
      </c>
      <c r="G40" s="110" t="str">
        <f>IF(E40="","Enter Consumption Figure",(E40*F40)/1000)</f>
        <v>Enter Consumption Figure</v>
      </c>
      <c r="H40" s="81"/>
    </row>
    <row r="41" spans="2:9" x14ac:dyDescent="0.3">
      <c r="B41" s="1"/>
      <c r="C41" s="117"/>
      <c r="D41" s="113"/>
      <c r="E41" s="113"/>
      <c r="F41" s="113"/>
      <c r="G41" s="113"/>
      <c r="H41" s="81"/>
    </row>
    <row r="42" spans="2:9" x14ac:dyDescent="0.3">
      <c r="B42" s="1"/>
      <c r="C42" s="117"/>
      <c r="D42" s="113"/>
      <c r="E42" s="113"/>
      <c r="F42" s="113"/>
      <c r="G42" s="113"/>
      <c r="H42" s="81"/>
    </row>
    <row r="43" spans="2:9" x14ac:dyDescent="0.3">
      <c r="B43" s="1"/>
      <c r="C43" s="117"/>
      <c r="D43" s="113"/>
      <c r="E43" s="113"/>
      <c r="F43" s="113"/>
      <c r="G43" s="113"/>
      <c r="H43" s="81"/>
    </row>
    <row r="44" spans="2:9" ht="14.5" thickBot="1" x14ac:dyDescent="0.35">
      <c r="B44" s="60"/>
      <c r="C44" s="60"/>
      <c r="D44" s="60"/>
      <c r="E44" s="60"/>
      <c r="F44" s="60"/>
      <c r="G44" s="60"/>
      <c r="H44" s="81"/>
    </row>
    <row r="45" spans="2:9" x14ac:dyDescent="0.3">
      <c r="B45" s="81"/>
      <c r="C45" s="81"/>
      <c r="D45" s="81"/>
      <c r="E45" s="81"/>
      <c r="F45" s="81"/>
      <c r="G45" s="81"/>
      <c r="H45" s="81"/>
    </row>
    <row r="46" spans="2:9" s="57" customFormat="1" x14ac:dyDescent="0.3">
      <c r="B46" s="98" t="s">
        <v>541</v>
      </c>
      <c r="C46" s="99"/>
      <c r="D46" s="99"/>
      <c r="E46" s="99"/>
      <c r="F46" s="99"/>
      <c r="G46" s="99"/>
      <c r="H46" s="81"/>
      <c r="I46" s="53"/>
    </row>
    <row r="47" spans="2:9" s="57" customFormat="1" ht="13.75" customHeight="1" x14ac:dyDescent="0.3">
      <c r="B47" s="168" t="s">
        <v>669</v>
      </c>
      <c r="C47" s="168"/>
      <c r="D47" s="168"/>
      <c r="E47" s="168"/>
      <c r="F47" s="168"/>
      <c r="G47" s="168"/>
      <c r="H47" s="81"/>
      <c r="I47" s="53"/>
    </row>
    <row r="48" spans="2:9" s="57" customFormat="1" x14ac:dyDescent="0.3">
      <c r="B48" s="168"/>
      <c r="C48" s="168"/>
      <c r="D48" s="168"/>
      <c r="E48" s="168"/>
      <c r="F48" s="168"/>
      <c r="G48" s="168"/>
      <c r="H48" s="81"/>
      <c r="I48" s="53"/>
    </row>
    <row r="49" spans="2:9" s="57" customFormat="1" x14ac:dyDescent="0.3">
      <c r="B49" s="168"/>
      <c r="C49" s="168"/>
      <c r="D49" s="168"/>
      <c r="E49" s="168"/>
      <c r="F49" s="168"/>
      <c r="G49" s="168"/>
      <c r="H49" s="81"/>
      <c r="I49" s="53"/>
    </row>
    <row r="50" spans="2:9" s="57" customFormat="1" x14ac:dyDescent="0.3">
      <c r="B50" s="168"/>
      <c r="C50" s="168"/>
      <c r="D50" s="168"/>
      <c r="E50" s="168"/>
      <c r="F50" s="168"/>
      <c r="G50" s="168"/>
      <c r="H50" s="81"/>
      <c r="I50" s="53"/>
    </row>
    <row r="51" spans="2:9" s="57" customFormat="1" x14ac:dyDescent="0.3">
      <c r="B51" s="168"/>
      <c r="C51" s="168"/>
      <c r="D51" s="168"/>
      <c r="E51" s="168"/>
      <c r="F51" s="168"/>
      <c r="G51" s="168"/>
      <c r="H51" s="81"/>
      <c r="I51" s="53"/>
    </row>
    <row r="52" spans="2:9" s="57" customFormat="1" x14ac:dyDescent="0.3">
      <c r="B52" s="168"/>
      <c r="C52" s="168"/>
      <c r="D52" s="168"/>
      <c r="E52" s="168"/>
      <c r="F52" s="168"/>
      <c r="G52" s="168"/>
      <c r="H52" s="81"/>
      <c r="I52" s="53"/>
    </row>
    <row r="53" spans="2:9" s="57" customFormat="1" x14ac:dyDescent="0.3">
      <c r="B53" s="168"/>
      <c r="C53" s="168"/>
      <c r="D53" s="168"/>
      <c r="E53" s="168"/>
      <c r="F53" s="168"/>
      <c r="G53" s="168"/>
      <c r="H53" s="81"/>
      <c r="I53" s="53"/>
    </row>
    <row r="54" spans="2:9" s="57" customFormat="1" x14ac:dyDescent="0.3">
      <c r="B54" s="168"/>
      <c r="C54" s="168"/>
      <c r="D54" s="168"/>
      <c r="E54" s="168"/>
      <c r="F54" s="168"/>
      <c r="G54" s="168"/>
      <c r="H54" s="81"/>
      <c r="I54" s="53"/>
    </row>
    <row r="55" spans="2:9" s="57" customFormat="1" x14ac:dyDescent="0.3">
      <c r="B55" s="168"/>
      <c r="C55" s="168"/>
      <c r="D55" s="168"/>
      <c r="E55" s="168"/>
      <c r="F55" s="168"/>
      <c r="G55" s="168"/>
      <c r="H55" s="81"/>
      <c r="I55" s="53"/>
    </row>
    <row r="56" spans="2:9" s="57" customFormat="1" x14ac:dyDescent="0.3">
      <c r="B56" s="168"/>
      <c r="C56" s="168"/>
      <c r="D56" s="168"/>
      <c r="E56" s="168"/>
      <c r="F56" s="168"/>
      <c r="G56" s="168"/>
      <c r="H56" s="81"/>
      <c r="I56" s="53"/>
    </row>
    <row r="57" spans="2:9" s="57" customFormat="1" x14ac:dyDescent="0.3">
      <c r="B57" s="168"/>
      <c r="C57" s="168"/>
      <c r="D57" s="168"/>
      <c r="E57" s="168"/>
      <c r="F57" s="168"/>
      <c r="G57" s="168"/>
      <c r="H57" s="81"/>
      <c r="I57" s="53"/>
    </row>
    <row r="58" spans="2:9" s="57" customFormat="1" x14ac:dyDescent="0.3">
      <c r="B58" s="168"/>
      <c r="C58" s="168"/>
      <c r="D58" s="168"/>
      <c r="E58" s="168"/>
      <c r="F58" s="168"/>
      <c r="G58" s="168"/>
      <c r="H58" s="81"/>
      <c r="I58" s="53"/>
    </row>
    <row r="59" spans="2:9" s="57" customFormat="1" x14ac:dyDescent="0.3">
      <c r="B59" s="168"/>
      <c r="C59" s="168"/>
      <c r="D59" s="168"/>
      <c r="E59" s="168"/>
      <c r="F59" s="168"/>
      <c r="G59" s="168"/>
      <c r="H59" s="81"/>
      <c r="I59" s="53"/>
    </row>
    <row r="60" spans="2:9" s="57" customFormat="1" x14ac:dyDescent="0.3">
      <c r="B60" s="168"/>
      <c r="C60" s="168"/>
      <c r="D60" s="168"/>
      <c r="E60" s="168"/>
      <c r="F60" s="168"/>
      <c r="G60" s="168"/>
      <c r="H60" s="81"/>
      <c r="I60" s="53"/>
    </row>
    <row r="61" spans="2:9" x14ac:dyDescent="0.3">
      <c r="B61" s="168"/>
      <c r="C61" s="168"/>
      <c r="D61" s="168"/>
      <c r="E61" s="168"/>
      <c r="F61" s="168"/>
      <c r="G61" s="168"/>
      <c r="H61" s="81"/>
    </row>
    <row r="62" spans="2:9" x14ac:dyDescent="0.3">
      <c r="B62" s="168"/>
      <c r="C62" s="168"/>
      <c r="D62" s="168"/>
      <c r="E62" s="168"/>
      <c r="F62" s="168"/>
      <c r="G62" s="168"/>
      <c r="H62" s="81"/>
    </row>
    <row r="63" spans="2:9" x14ac:dyDescent="0.3">
      <c r="B63" s="168"/>
      <c r="C63" s="168"/>
      <c r="D63" s="168"/>
      <c r="E63" s="168"/>
      <c r="F63" s="168"/>
      <c r="G63" s="168"/>
      <c r="H63" s="81"/>
    </row>
    <row r="64" spans="2:9" x14ac:dyDescent="0.3">
      <c r="B64" s="168"/>
      <c r="C64" s="168"/>
      <c r="D64" s="168"/>
      <c r="E64" s="168"/>
      <c r="F64" s="168"/>
      <c r="G64" s="168"/>
      <c r="H64" s="81"/>
    </row>
    <row r="65" spans="2:8" x14ac:dyDescent="0.3">
      <c r="B65" s="168"/>
      <c r="C65" s="168"/>
      <c r="D65" s="168"/>
      <c r="E65" s="168"/>
      <c r="F65" s="168"/>
      <c r="G65" s="168"/>
      <c r="H65" s="81"/>
    </row>
    <row r="66" spans="2:8" x14ac:dyDescent="0.3">
      <c r="B66" s="168"/>
      <c r="C66" s="168"/>
      <c r="D66" s="168"/>
      <c r="E66" s="168"/>
      <c r="F66" s="168"/>
      <c r="G66" s="168"/>
      <c r="H66" s="81"/>
    </row>
    <row r="67" spans="2:8" x14ac:dyDescent="0.3">
      <c r="B67" s="168"/>
      <c r="C67" s="168"/>
      <c r="D67" s="168"/>
      <c r="E67" s="168"/>
      <c r="F67" s="168"/>
      <c r="G67" s="168"/>
      <c r="H67" s="81"/>
    </row>
    <row r="68" spans="2:8" x14ac:dyDescent="0.3">
      <c r="B68" s="168"/>
      <c r="C68" s="168"/>
      <c r="D68" s="168"/>
      <c r="E68" s="168"/>
      <c r="F68" s="168"/>
      <c r="G68" s="168"/>
      <c r="H68" s="81"/>
    </row>
    <row r="70" spans="2:8" x14ac:dyDescent="0.3">
      <c r="B70" s="73" t="s">
        <v>537</v>
      </c>
      <c r="C70" s="74"/>
      <c r="D70" s="74"/>
    </row>
    <row r="71" spans="2:8" x14ac:dyDescent="0.3">
      <c r="B71" s="160" t="s">
        <v>573</v>
      </c>
      <c r="C71" s="160"/>
      <c r="D71" s="160"/>
    </row>
  </sheetData>
  <mergeCells count="6">
    <mergeCell ref="B71:D71"/>
    <mergeCell ref="B8:C8"/>
    <mergeCell ref="B9:C9"/>
    <mergeCell ref="B10:C10"/>
    <mergeCell ref="B11:C11"/>
    <mergeCell ref="B47:G68"/>
  </mergeCells>
  <conditionalFormatting sqref="G18">
    <cfRule type="cellIs" dxfId="20" priority="8" operator="equal">
      <formula>"Enter Consumption Figure"</formula>
    </cfRule>
  </conditionalFormatting>
  <conditionalFormatting sqref="B25:B28">
    <cfRule type="duplicateValues" dxfId="19" priority="6"/>
  </conditionalFormatting>
  <conditionalFormatting sqref="B29:B32">
    <cfRule type="duplicateValues" dxfId="18" priority="5"/>
  </conditionalFormatting>
  <conditionalFormatting sqref="G25:G32">
    <cfRule type="cellIs" dxfId="17" priority="4" operator="equal">
      <formula>"Enter Consumption Figure"</formula>
    </cfRule>
  </conditionalFormatting>
  <conditionalFormatting sqref="B37:B40">
    <cfRule type="duplicateValues" dxfId="16" priority="3"/>
  </conditionalFormatting>
  <conditionalFormatting sqref="G37:G40">
    <cfRule type="cellIs" dxfId="15" priority="1" operator="equal">
      <formula>"Enter Consumption Figure"</formula>
    </cfRule>
  </conditionalFormatting>
  <conditionalFormatting sqref="B18:B19">
    <cfRule type="duplicateValues" dxfId="14" priority="24"/>
  </conditionalFormatting>
  <dataValidations count="1">
    <dataValidation type="custom" allowBlank="1" showInputMessage="1" showErrorMessage="1" errorTitle="Not a Valid Value" error="The data entered is not a valid value, please click the &quot;Retry&quot; button and enter the consumption figure in a number format." sqref="E18 E25:E32 E37:E40" xr:uid="{ADA8D980-28FB-4480-812D-D1338C1EDF93}">
      <formula1>ISNUMBER(E18)</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570B4-D712-4D84-8E71-650CA35E3A7B}">
  <sheetPr>
    <tabColor rgb="FF00C18B"/>
  </sheetPr>
  <dimension ref="B1:J100"/>
  <sheetViews>
    <sheetView showGridLines="0" tabSelected="1" topLeftCell="C1" zoomScaleNormal="100" zoomScaleSheetLayoutView="100" workbookViewId="0">
      <selection activeCell="E26" sqref="E26"/>
    </sheetView>
  </sheetViews>
  <sheetFormatPr defaultColWidth="9.83203125" defaultRowHeight="14" x14ac:dyDescent="0.3"/>
  <cols>
    <col min="1" max="1" width="8.58203125" style="53" customWidth="1"/>
    <col min="2" max="2" width="58.1640625" style="53" bestFit="1" customWidth="1"/>
    <col min="3" max="3" width="28.6640625" style="53" bestFit="1" customWidth="1"/>
    <col min="4" max="4" width="23.6640625" style="53" customWidth="1"/>
    <col min="5" max="5" width="16.33203125" style="53" customWidth="1"/>
    <col min="6" max="6" width="13" style="53" bestFit="1" customWidth="1"/>
    <col min="7" max="7" width="23" style="53" bestFit="1" customWidth="1"/>
    <col min="8" max="8" width="22.1640625" style="53" customWidth="1"/>
    <col min="9" max="9" width="9.83203125" style="53"/>
    <col min="10" max="10" width="10.9140625" style="53" customWidth="1"/>
    <col min="11" max="16384" width="9.83203125" style="53"/>
  </cols>
  <sheetData>
    <row r="1" spans="2:7" s="57" customFormat="1" x14ac:dyDescent="0.3"/>
    <row r="2" spans="2:7" s="57" customFormat="1" x14ac:dyDescent="0.3"/>
    <row r="3" spans="2:7" s="57" customFormat="1" x14ac:dyDescent="0.3"/>
    <row r="4" spans="2:7" s="57" customFormat="1" x14ac:dyDescent="0.3">
      <c r="F4" s="53"/>
      <c r="G4" s="53"/>
    </row>
    <row r="5" spans="2:7" s="57" customFormat="1" x14ac:dyDescent="0.3">
      <c r="F5" s="53"/>
      <c r="G5" s="53"/>
    </row>
    <row r="6" spans="2:7" s="57" customFormat="1" x14ac:dyDescent="0.3">
      <c r="F6" s="53"/>
      <c r="G6" s="53"/>
    </row>
    <row r="7" spans="2:7" s="57" customFormat="1" x14ac:dyDescent="0.3">
      <c r="F7" s="53"/>
      <c r="G7" s="53"/>
    </row>
    <row r="8" spans="2:7" s="57" customFormat="1" x14ac:dyDescent="0.3">
      <c r="B8" s="75" t="s">
        <v>536</v>
      </c>
      <c r="F8" s="53"/>
      <c r="G8" s="53"/>
    </row>
    <row r="9" spans="2:7" s="57" customFormat="1" x14ac:dyDescent="0.3">
      <c r="B9" s="56" t="s">
        <v>457</v>
      </c>
      <c r="F9" s="53"/>
      <c r="G9" s="53"/>
    </row>
    <row r="10" spans="2:7" s="57" customFormat="1" x14ac:dyDescent="0.3">
      <c r="B10" s="58" t="s">
        <v>460</v>
      </c>
      <c r="F10" s="53"/>
      <c r="G10" s="53"/>
    </row>
    <row r="11" spans="2:7" x14ac:dyDescent="0.3">
      <c r="B11" s="59" t="s">
        <v>458</v>
      </c>
    </row>
    <row r="12" spans="2:7" ht="14.5" thickBot="1" x14ac:dyDescent="0.35">
      <c r="B12" s="101"/>
      <c r="C12" s="101"/>
      <c r="D12" s="101"/>
      <c r="E12" s="101"/>
      <c r="F12" s="101"/>
      <c r="G12" s="101"/>
    </row>
    <row r="13" spans="2:7" x14ac:dyDescent="0.3">
      <c r="B13" s="81"/>
      <c r="C13" s="81"/>
      <c r="D13" s="81"/>
      <c r="E13" s="81"/>
      <c r="F13" s="81"/>
      <c r="G13" s="81"/>
    </row>
    <row r="14" spans="2:7" ht="20" x14ac:dyDescent="0.3">
      <c r="B14" s="80" t="s">
        <v>41</v>
      </c>
      <c r="C14" s="81"/>
      <c r="D14" s="81"/>
      <c r="E14" s="81"/>
      <c r="F14" s="81"/>
      <c r="G14" s="81"/>
    </row>
    <row r="15" spans="2:7" customFormat="1" x14ac:dyDescent="0.3">
      <c r="B15" s="1" t="s">
        <v>523</v>
      </c>
      <c r="C15" s="1"/>
      <c r="D15" s="1"/>
      <c r="E15" s="1"/>
      <c r="F15" s="1"/>
      <c r="G15" s="1"/>
    </row>
    <row r="16" spans="2:7" customFormat="1" x14ac:dyDescent="0.3">
      <c r="B16" s="1"/>
      <c r="C16" s="1"/>
      <c r="D16" s="1"/>
      <c r="E16" s="1"/>
      <c r="F16" s="1"/>
      <c r="G16" s="1"/>
    </row>
    <row r="17" spans="2:7" customFormat="1" ht="31" x14ac:dyDescent="0.3">
      <c r="B17" s="105" t="s">
        <v>497</v>
      </c>
      <c r="C17" s="15" t="s">
        <v>448</v>
      </c>
      <c r="D17" s="15" t="s">
        <v>53</v>
      </c>
      <c r="E17" s="15" t="s">
        <v>54</v>
      </c>
      <c r="F17" s="105" t="s">
        <v>55</v>
      </c>
      <c r="G17" s="105" t="s">
        <v>543</v>
      </c>
    </row>
    <row r="18" spans="2:7" customFormat="1" x14ac:dyDescent="0.3">
      <c r="B18" s="106" t="s">
        <v>505</v>
      </c>
      <c r="C18" s="107" t="s">
        <v>25</v>
      </c>
      <c r="D18" s="108" t="str">
        <f>IF(Overview!$C$15="","",Overview!$C$15)</f>
        <v>2019-20</v>
      </c>
      <c r="E18" s="52"/>
      <c r="F18" s="109">
        <f>IFERROR(VLOOKUP(Overview!$C$15,'GHG Emission Factors'!$B:$DJ,56,0),"")</f>
        <v>0.13591</v>
      </c>
      <c r="G18" s="110" t="str">
        <f>IF(E18="","Enter Consumption Figure",(E18*F18)/1000)</f>
        <v>Enter Consumption Figure</v>
      </c>
    </row>
    <row r="19" spans="2:7" customFormat="1" x14ac:dyDescent="0.3">
      <c r="B19" s="106" t="s">
        <v>562</v>
      </c>
      <c r="C19" s="107" t="s">
        <v>25</v>
      </c>
      <c r="D19" s="108" t="str">
        <f>IF(Overview!$C$15="","",Overview!$C$15)</f>
        <v>2019-20</v>
      </c>
      <c r="E19" s="52"/>
      <c r="F19" s="109">
        <f>IFERROR(VLOOKUP(Overview!$C$15,'GHG Emission Factors'!$B:$DJ,57,0),"")</f>
        <v>0.16559000000000001</v>
      </c>
      <c r="G19" s="110" t="str">
        <f t="shared" ref="G19:G30" si="0">IF(E19="","Enter Consumption Figure",(E19*F19)/1000)</f>
        <v>Enter Consumption Figure</v>
      </c>
    </row>
    <row r="20" spans="2:7" customFormat="1" x14ac:dyDescent="0.3">
      <c r="B20" s="23" t="s">
        <v>563</v>
      </c>
      <c r="C20" s="107" t="s">
        <v>25</v>
      </c>
      <c r="D20" s="108" t="str">
        <f>IF(Overview!$C$15="","",Overview!$C$15)</f>
        <v>2019-20</v>
      </c>
      <c r="E20" s="52"/>
      <c r="F20" s="109">
        <f>IFERROR(VLOOKUP(Overview!$C$15,'GHG Emission Factors'!$B:$DJ,58,0),"")</f>
        <v>0.28502</v>
      </c>
      <c r="G20" s="110" t="str">
        <f t="shared" si="0"/>
        <v>Enter Consumption Figure</v>
      </c>
    </row>
    <row r="21" spans="2:7" customFormat="1" x14ac:dyDescent="0.3">
      <c r="B21" s="23" t="s">
        <v>502</v>
      </c>
      <c r="C21" s="107" t="s">
        <v>25</v>
      </c>
      <c r="D21" s="108" t="str">
        <f>IF(Overview!$C$15="","",Overview!$C$15)</f>
        <v>2019-20</v>
      </c>
      <c r="E21" s="52"/>
      <c r="F21" s="109">
        <f>IFERROR(VLOOKUP(Overview!$C$15,'GHG Emission Factors'!$B:$DJ,59,0),"")</f>
        <v>0.24736</v>
      </c>
      <c r="G21" s="110" t="str">
        <f t="shared" si="0"/>
        <v>Enter Consumption Figure</v>
      </c>
    </row>
    <row r="22" spans="2:7" customFormat="1" x14ac:dyDescent="0.3">
      <c r="B22" s="23" t="s">
        <v>506</v>
      </c>
      <c r="C22" s="107" t="s">
        <v>25</v>
      </c>
      <c r="D22" s="108" t="str">
        <f>IF(Overview!$C$15="","",Overview!$C$15)</f>
        <v>2019-20</v>
      </c>
      <c r="E22" s="52"/>
      <c r="F22" s="109">
        <f>IFERROR(VLOOKUP(Overview!$C$15,'GHG Emission Factors'!$B:$DJ,60,0),"")</f>
        <v>0.30945</v>
      </c>
      <c r="G22" s="110" t="str">
        <f t="shared" si="0"/>
        <v>Enter Consumption Figure</v>
      </c>
    </row>
    <row r="23" spans="2:7" customFormat="1" x14ac:dyDescent="0.3">
      <c r="B23" s="23" t="s">
        <v>507</v>
      </c>
      <c r="C23" s="107" t="s">
        <v>25</v>
      </c>
      <c r="D23" s="108" t="str">
        <f>IF(Overview!$C$15="","",Overview!$C$15)</f>
        <v>2019-20</v>
      </c>
      <c r="E23" s="52"/>
      <c r="F23" s="109">
        <f>IFERROR(VLOOKUP(Overview!$C$15,'GHG Emission Factors'!$B:$DJ,61,0),"")</f>
        <v>0.45535999999999999</v>
      </c>
      <c r="G23" s="110" t="str">
        <f t="shared" si="0"/>
        <v>Enter Consumption Figure</v>
      </c>
    </row>
    <row r="24" spans="2:7" customFormat="1" x14ac:dyDescent="0.3">
      <c r="B24" s="23" t="s">
        <v>564</v>
      </c>
      <c r="C24" s="107" t="s">
        <v>25</v>
      </c>
      <c r="D24" s="108" t="str">
        <f>IF(Overview!$C$15="","",Overview!$C$15)</f>
        <v>2019-20</v>
      </c>
      <c r="E24" s="52"/>
      <c r="F24" s="109">
        <f>IFERROR(VLOOKUP(Overview!$C$15,'GHG Emission Factors'!$B:$DJ,62,0),"")</f>
        <v>0.22868000000000002</v>
      </c>
      <c r="G24" s="110" t="str">
        <f>IF(E24="","Enter Consumption Figure",(E24*F24)/1000)</f>
        <v>Enter Consumption Figure</v>
      </c>
    </row>
    <row r="25" spans="2:7" customFormat="1" x14ac:dyDescent="0.3">
      <c r="B25" s="23" t="s">
        <v>565</v>
      </c>
      <c r="C25" s="107" t="s">
        <v>25</v>
      </c>
      <c r="D25" s="108" t="str">
        <f>IF(Overview!$C$15="","",Overview!$C$15)</f>
        <v>2019-20</v>
      </c>
      <c r="E25" s="52"/>
      <c r="F25" s="109">
        <f>IFERROR(VLOOKUP(Overview!$C$15,'GHG Emission Factors'!$B:$DJ,63,0),"")</f>
        <v>0.27459</v>
      </c>
      <c r="G25" s="110" t="str">
        <f>IF(E25="","Enter Consumption Figure",(E25*F25)/1000)</f>
        <v>Enter Consumption Figure</v>
      </c>
    </row>
    <row r="26" spans="2:7" customFormat="1" x14ac:dyDescent="0.3">
      <c r="B26" s="23" t="s">
        <v>504</v>
      </c>
      <c r="C26" s="107" t="s">
        <v>25</v>
      </c>
      <c r="D26" s="108" t="str">
        <f>IF(Overview!$C$15="","",Overview!$C$15)</f>
        <v>2019-20</v>
      </c>
      <c r="E26" s="52"/>
      <c r="F26" s="109">
        <f>IFERROR(VLOOKUP(Overview!$C$15,'GHG Emission Factors'!$B:$DJ,64,0),"")</f>
        <v>0.33712999999999999</v>
      </c>
      <c r="G26" s="110" t="str">
        <f>IF(E26="","Enter Consumption Figure",(E26*F26)/1000)</f>
        <v>Enter Consumption Figure</v>
      </c>
    </row>
    <row r="27" spans="2:7" customFormat="1" x14ac:dyDescent="0.3">
      <c r="B27" s="23" t="s">
        <v>503</v>
      </c>
      <c r="C27" s="107" t="s">
        <v>25</v>
      </c>
      <c r="D27" s="108" t="str">
        <f>IF(Overview!$C$15="","",Overview!$C$15)</f>
        <v>2019-20</v>
      </c>
      <c r="E27" s="52"/>
      <c r="F27" s="109">
        <f>IFERROR(VLOOKUP(Overview!$C$15,'GHG Emission Factors'!$B:$DJ,65,0),"")</f>
        <v>0.16930000000000001</v>
      </c>
      <c r="G27" s="110" t="str">
        <f t="shared" si="0"/>
        <v>Enter Consumption Figure</v>
      </c>
    </row>
    <row r="28" spans="2:7" customFormat="1" x14ac:dyDescent="0.3">
      <c r="B28" s="23" t="s">
        <v>527</v>
      </c>
      <c r="C28" s="107" t="s">
        <v>25</v>
      </c>
      <c r="D28" s="108" t="str">
        <f>IF(Overview!$C$15="","",Overview!$C$15)</f>
        <v>2019-20</v>
      </c>
      <c r="E28" s="52"/>
      <c r="F28" s="109">
        <f>IFERROR(VLOOKUP(Overview!$C$15,'GHG Emission Factors'!$B:$DJ,66,0),"")</f>
        <v>0.17534</v>
      </c>
      <c r="G28" s="110" t="str">
        <f t="shared" si="0"/>
        <v>Enter Consumption Figure</v>
      </c>
    </row>
    <row r="29" spans="2:7" customFormat="1" x14ac:dyDescent="0.3">
      <c r="B29" s="23" t="s">
        <v>528</v>
      </c>
      <c r="C29" s="107" t="s">
        <v>25</v>
      </c>
      <c r="D29" s="108" t="str">
        <f>IF(Overview!$C$15="","",Overview!$C$15)</f>
        <v>2019-20</v>
      </c>
      <c r="E29" s="52"/>
      <c r="F29" s="109">
        <f>IFERROR(VLOOKUP(Overview!$C$15,'GHG Emission Factors'!$B:$DJ,67,0),"")</f>
        <v>0.21207000000000001</v>
      </c>
      <c r="G29" s="110" t="str">
        <f t="shared" si="0"/>
        <v>Enter Consumption Figure</v>
      </c>
    </row>
    <row r="30" spans="2:7" customFormat="1" x14ac:dyDescent="0.3">
      <c r="B30" s="23" t="s">
        <v>525</v>
      </c>
      <c r="C30" s="107" t="s">
        <v>25</v>
      </c>
      <c r="D30" s="108" t="str">
        <f>IF(Overview!$C$15="","",Overview!$C$15)</f>
        <v>2019-20</v>
      </c>
      <c r="E30" s="52"/>
      <c r="F30" s="109">
        <f>IFERROR(VLOOKUP(Overview!$C$15,'GHG Emission Factors'!$B:$DJ,68,0),"")</f>
        <v>8.931E-2</v>
      </c>
      <c r="G30" s="110" t="str">
        <f t="shared" si="0"/>
        <v>Enter Consumption Figure</v>
      </c>
    </row>
    <row r="31" spans="2:7" ht="20" x14ac:dyDescent="0.3">
      <c r="B31" s="80"/>
      <c r="C31" s="81"/>
      <c r="D31" s="81"/>
      <c r="E31" s="81"/>
      <c r="F31" s="81"/>
      <c r="G31" s="81"/>
    </row>
    <row r="32" spans="2:7" x14ac:dyDescent="0.3">
      <c r="B32" s="82" t="s">
        <v>23</v>
      </c>
      <c r="C32" s="91"/>
      <c r="D32" s="91"/>
      <c r="E32" s="91"/>
      <c r="F32" s="91"/>
      <c r="G32" s="91"/>
    </row>
    <row r="33" spans="2:10" x14ac:dyDescent="0.3">
      <c r="B33" s="81"/>
      <c r="C33" s="91"/>
      <c r="D33" s="91"/>
      <c r="E33" s="91"/>
      <c r="F33" s="91"/>
      <c r="G33" s="91"/>
    </row>
    <row r="34" spans="2:10" ht="31" x14ac:dyDescent="0.3">
      <c r="B34" s="83" t="s">
        <v>52</v>
      </c>
      <c r="C34" s="83" t="s">
        <v>448</v>
      </c>
      <c r="D34" s="83" t="s">
        <v>53</v>
      </c>
      <c r="E34" s="83" t="s">
        <v>54</v>
      </c>
      <c r="F34" s="84" t="s">
        <v>55</v>
      </c>
      <c r="G34" s="84" t="s">
        <v>543</v>
      </c>
    </row>
    <row r="35" spans="2:10" x14ac:dyDescent="0.3">
      <c r="B35" s="86" t="s">
        <v>29</v>
      </c>
      <c r="C35" s="87" t="s">
        <v>30</v>
      </c>
      <c r="D35" s="88" t="str">
        <f>IF(Overview!$C$15="","",Overview!$C$15)</f>
        <v>2019-20</v>
      </c>
      <c r="E35" s="52"/>
      <c r="F35" s="89">
        <f>IFERROR(VLOOKUP(Overview!$C$15,'GHG Emission Factors'!$B:$DJ,71,0),"")</f>
        <v>0.34399999999999997</v>
      </c>
      <c r="G35" s="90" t="str">
        <f t="shared" ref="G35:G36" si="1">IF(E35="","Enter Consumption Figure",(E35*F35)/1000)</f>
        <v>Enter Consumption Figure</v>
      </c>
    </row>
    <row r="36" spans="2:10" x14ac:dyDescent="0.3">
      <c r="B36" s="86" t="s">
        <v>31</v>
      </c>
      <c r="C36" s="87" t="s">
        <v>30</v>
      </c>
      <c r="D36" s="88" t="str">
        <f>IF(Overview!$C$15="","",Overview!$C$15)</f>
        <v>2019-20</v>
      </c>
      <c r="E36" s="52"/>
      <c r="F36" s="89">
        <f>IFERROR(VLOOKUP(Overview!$C$15,'GHG Emission Factors'!$B:$DJ,72,0),"")</f>
        <v>0.70799999999999996</v>
      </c>
      <c r="G36" s="90" t="str">
        <f t="shared" si="1"/>
        <v>Enter Consumption Figure</v>
      </c>
    </row>
    <row r="37" spans="2:10" x14ac:dyDescent="0.3">
      <c r="B37" s="98"/>
      <c r="C37" s="111"/>
      <c r="D37" s="111"/>
      <c r="E37" s="111"/>
      <c r="F37" s="111"/>
      <c r="G37" s="111"/>
      <c r="H37" s="111"/>
      <c r="I37" s="111"/>
      <c r="J37" s="111"/>
    </row>
    <row r="38" spans="2:10" x14ac:dyDescent="0.3">
      <c r="B38" s="98" t="s">
        <v>591</v>
      </c>
      <c r="C38" s="111"/>
      <c r="D38" s="111"/>
      <c r="E38" s="111"/>
      <c r="F38" s="111"/>
      <c r="G38" s="111"/>
      <c r="H38" s="111"/>
      <c r="I38" s="111"/>
      <c r="J38" s="111"/>
    </row>
    <row r="39" spans="2:10" x14ac:dyDescent="0.3">
      <c r="B39" s="98"/>
      <c r="C39" s="111"/>
      <c r="D39" s="111"/>
      <c r="E39" s="111"/>
      <c r="F39" s="111"/>
      <c r="G39" s="111"/>
      <c r="H39" s="111"/>
      <c r="I39" s="111"/>
      <c r="J39" s="111"/>
    </row>
    <row r="40" spans="2:10" ht="31" x14ac:dyDescent="0.3">
      <c r="B40" s="15" t="s">
        <v>52</v>
      </c>
      <c r="C40" s="15" t="s">
        <v>448</v>
      </c>
      <c r="D40" s="15" t="s">
        <v>613</v>
      </c>
      <c r="E40" s="15" t="s">
        <v>53</v>
      </c>
      <c r="F40" s="15" t="s">
        <v>54</v>
      </c>
      <c r="G40" s="105" t="s">
        <v>55</v>
      </c>
      <c r="H40" s="105" t="s">
        <v>543</v>
      </c>
      <c r="I40" s="111"/>
      <c r="J40" s="111"/>
    </row>
    <row r="41" spans="2:10" x14ac:dyDescent="0.3">
      <c r="B41" s="23" t="s">
        <v>592</v>
      </c>
      <c r="C41" s="107" t="s">
        <v>593</v>
      </c>
      <c r="D41" s="87" t="s">
        <v>610</v>
      </c>
      <c r="E41" s="108" t="str">
        <f>IF(Overview!$C$15="","",Overview!$C$15)</f>
        <v>2019-20</v>
      </c>
      <c r="F41" s="52"/>
      <c r="G41" s="89">
        <f>IFERROR(VLOOKUP(Overview!$C$15,'GHG Emission Factors'!$B:$DJ,73,0),"")</f>
        <v>4060.1635999999999</v>
      </c>
      <c r="H41" s="110" t="str">
        <f t="shared" ref="H41:H46" si="2">IF(F41="","Enter Consumption Figure",(F41*G41)/1000)</f>
        <v>Enter Consumption Figure</v>
      </c>
      <c r="I41" s="111"/>
      <c r="J41" s="111"/>
    </row>
    <row r="42" spans="2:10" x14ac:dyDescent="0.3">
      <c r="B42" s="23" t="s">
        <v>676</v>
      </c>
      <c r="C42" s="107" t="s">
        <v>593</v>
      </c>
      <c r="D42" s="87" t="s">
        <v>610</v>
      </c>
      <c r="E42" s="108" t="str">
        <f>IF(Overview!$C$15="","",Overview!$C$15)</f>
        <v>2019-20</v>
      </c>
      <c r="F42" s="52"/>
      <c r="G42" s="89" t="str">
        <f>IFERROR(VLOOKUP(Overview!$C$15,'GHG Emission Factors'!$B:$DJ,74,0),"")</f>
        <v>Unavailable</v>
      </c>
      <c r="H42" s="110" t="str">
        <f t="shared" si="2"/>
        <v>Enter Consumption Figure</v>
      </c>
      <c r="I42" s="111"/>
      <c r="J42" s="111"/>
    </row>
    <row r="43" spans="2:10" x14ac:dyDescent="0.3">
      <c r="B43" s="23" t="s">
        <v>595</v>
      </c>
      <c r="C43" s="107" t="s">
        <v>593</v>
      </c>
      <c r="D43" s="17" t="s">
        <v>455</v>
      </c>
      <c r="E43" s="108" t="str">
        <f>IF(Overview!$C$15="","",Overview!$C$15)</f>
        <v>2019-20</v>
      </c>
      <c r="F43" s="52"/>
      <c r="G43" s="89">
        <f>IF(D43="Primary Material Production",VLOOKUP(Overview!$C$15,'GHG Emission Factors'!$B:$DJ,75,0),IF(D43="Open-Loop Source",VLOOKUP(Overview!$C$15,'GHG Emission Factors'!$B:$DJ,76,0),IF(D43="Closed-loop Source",VLOOKUP(Overview!$C$15,'GHG Emission Factors'!$B:$DJ,77,0),0)))</f>
        <v>0</v>
      </c>
      <c r="H43" s="110" t="str">
        <f t="shared" si="2"/>
        <v>Enter Consumption Figure</v>
      </c>
      <c r="I43" s="111"/>
      <c r="J43" s="111"/>
    </row>
    <row r="44" spans="2:10" x14ac:dyDescent="0.3">
      <c r="B44" s="23" t="s">
        <v>596</v>
      </c>
      <c r="C44" s="107" t="s">
        <v>593</v>
      </c>
      <c r="D44" s="17" t="s">
        <v>455</v>
      </c>
      <c r="E44" s="108" t="str">
        <f>IF(Overview!$C$15="","",Overview!$C$15)</f>
        <v>2019-20</v>
      </c>
      <c r="F44" s="52"/>
      <c r="G44" s="89">
        <f>IF(D44="Primary Material Production",VLOOKUP(Overview!$C$15,'GHG Emission Factors'!$B:$DJ,78,0),IF(D44="Open-Loop Source",VLOOKUP(Overview!$C$15,'GHG Emission Factors'!$B:$DJ,79,0),IF(D44="Closed-loop Source",VLOOKUP(Overview!$C$15,'GHG Emission Factors'!$B:$DJ,80,0),0)))</f>
        <v>0</v>
      </c>
      <c r="H44" s="110" t="str">
        <f t="shared" si="2"/>
        <v>Enter Consumption Figure</v>
      </c>
      <c r="I44" s="111"/>
      <c r="J44" s="111"/>
    </row>
    <row r="45" spans="2:10" x14ac:dyDescent="0.3">
      <c r="B45" s="23" t="s">
        <v>597</v>
      </c>
      <c r="C45" s="107" t="s">
        <v>593</v>
      </c>
      <c r="D45" s="17" t="s">
        <v>455</v>
      </c>
      <c r="E45" s="108" t="str">
        <f>IF(Overview!$C$15="","",Overview!$C$15)</f>
        <v>2019-20</v>
      </c>
      <c r="F45" s="52"/>
      <c r="G45" s="89">
        <f>IF(D45="Primary Material Production",VLOOKUP(Overview!$C$15,'GHG Emission Factors'!$B:$DJ,81,0),IF(D45="Open-Loop Source",VLOOKUP(Overview!$C$15,'GHG Emission Factors'!$B:$DJ,82,0),IF(D45="Closed-loop Source",VLOOKUP(Overview!$C$15,'GHG Emission Factors'!$B:$DJ,83,0),0)))</f>
        <v>0</v>
      </c>
      <c r="H45" s="110" t="str">
        <f t="shared" si="2"/>
        <v>Enter Consumption Figure</v>
      </c>
      <c r="I45" s="111"/>
      <c r="J45" s="111"/>
    </row>
    <row r="46" spans="2:10" x14ac:dyDescent="0.3">
      <c r="B46" s="23" t="s">
        <v>598</v>
      </c>
      <c r="C46" s="107" t="s">
        <v>593</v>
      </c>
      <c r="D46" s="17" t="s">
        <v>455</v>
      </c>
      <c r="E46" s="108" t="str">
        <f>IF(Overview!$C$15="","",Overview!$C$15)</f>
        <v>2019-20</v>
      </c>
      <c r="F46" s="52"/>
      <c r="G46" s="89">
        <f>IF(D46="Primary Material Production",VLOOKUP(Overview!$C$15,'GHG Emission Factors'!$B:$DJ,84,0),IF(D46="Closed-loop Source",VLOOKUP(Overview!$C$15,'GHG Emission Factors'!$B:$DJ,85,0),0))</f>
        <v>0</v>
      </c>
      <c r="H46" s="110" t="str">
        <f t="shared" si="2"/>
        <v>Enter Consumption Figure</v>
      </c>
      <c r="I46" s="111"/>
      <c r="J46" s="111"/>
    </row>
    <row r="47" spans="2:10" x14ac:dyDescent="0.3">
      <c r="B47" s="52" t="s">
        <v>604</v>
      </c>
      <c r="C47" s="52"/>
      <c r="D47" s="52"/>
      <c r="E47" s="108" t="str">
        <f>IF(Overview!$C$15="","",Overview!$C$15)</f>
        <v>2019-20</v>
      </c>
      <c r="F47" s="52"/>
      <c r="G47" s="52"/>
      <c r="H47" s="52"/>
      <c r="I47" s="111"/>
      <c r="J47" s="111"/>
    </row>
    <row r="48" spans="2:10" x14ac:dyDescent="0.3">
      <c r="B48" s="52" t="s">
        <v>604</v>
      </c>
      <c r="C48" s="52"/>
      <c r="D48" s="52"/>
      <c r="E48" s="108" t="str">
        <f>IF(Overview!$C$15="","",Overview!$C$15)</f>
        <v>2019-20</v>
      </c>
      <c r="F48" s="52"/>
      <c r="G48" s="52"/>
      <c r="H48" s="52"/>
      <c r="I48" s="111"/>
      <c r="J48" s="111"/>
    </row>
    <row r="49" spans="2:10" x14ac:dyDescent="0.3">
      <c r="B49" s="52" t="s">
        <v>604</v>
      </c>
      <c r="C49" s="52"/>
      <c r="D49" s="52"/>
      <c r="E49" s="108" t="str">
        <f>IF(Overview!$C$15="","",Overview!$C$15)</f>
        <v>2019-20</v>
      </c>
      <c r="F49" s="52"/>
      <c r="G49" s="52"/>
      <c r="H49" s="52"/>
      <c r="I49" s="111"/>
      <c r="J49" s="111"/>
    </row>
    <row r="50" spans="2:10" x14ac:dyDescent="0.3">
      <c r="B50" s="52" t="s">
        <v>604</v>
      </c>
      <c r="C50" s="52"/>
      <c r="D50" s="52"/>
      <c r="E50" s="108" t="str">
        <f>IF(Overview!$C$15="","",Overview!$C$15)</f>
        <v>2019-20</v>
      </c>
      <c r="F50" s="52"/>
      <c r="G50" s="52"/>
      <c r="H50" s="52"/>
      <c r="I50" s="111"/>
      <c r="J50" s="111"/>
    </row>
    <row r="51" spans="2:10" x14ac:dyDescent="0.3">
      <c r="B51" s="98"/>
      <c r="C51" s="111"/>
      <c r="D51" s="111"/>
      <c r="E51" s="111"/>
      <c r="F51" s="111"/>
      <c r="G51" s="111"/>
      <c r="H51" s="111"/>
      <c r="I51" s="111"/>
      <c r="J51" s="111"/>
    </row>
    <row r="52" spans="2:10" x14ac:dyDescent="0.3">
      <c r="B52" s="98" t="s">
        <v>608</v>
      </c>
      <c r="C52" s="111"/>
      <c r="D52" s="111"/>
      <c r="E52" s="111"/>
      <c r="F52" s="111"/>
      <c r="G52" s="111"/>
      <c r="H52" s="111"/>
      <c r="I52" s="111"/>
      <c r="J52" s="111"/>
    </row>
    <row r="53" spans="2:10" x14ac:dyDescent="0.3">
      <c r="B53" s="98"/>
      <c r="C53" s="111"/>
      <c r="D53" s="111"/>
      <c r="E53" s="111"/>
      <c r="F53" s="111"/>
      <c r="G53" s="111"/>
      <c r="H53" s="111"/>
      <c r="I53" s="111"/>
      <c r="J53" s="111"/>
    </row>
    <row r="54" spans="2:10" ht="31" x14ac:dyDescent="0.3">
      <c r="B54" s="15" t="s">
        <v>52</v>
      </c>
      <c r="C54" s="15" t="s">
        <v>448</v>
      </c>
      <c r="D54" s="15" t="s">
        <v>609</v>
      </c>
      <c r="E54" s="15" t="s">
        <v>53</v>
      </c>
      <c r="F54" s="15" t="s">
        <v>54</v>
      </c>
      <c r="G54" s="105" t="s">
        <v>55</v>
      </c>
      <c r="H54" s="105" t="s">
        <v>543</v>
      </c>
      <c r="I54" s="111"/>
      <c r="J54" s="111"/>
    </row>
    <row r="55" spans="2:10" x14ac:dyDescent="0.3">
      <c r="B55" s="123" t="s">
        <v>599</v>
      </c>
      <c r="C55" s="107" t="s">
        <v>593</v>
      </c>
      <c r="D55" s="17" t="s">
        <v>455</v>
      </c>
      <c r="E55" s="108" t="str">
        <f>IF(Overview!$C$15="","",Overview!$C$15)</f>
        <v>2019-20</v>
      </c>
      <c r="F55" s="52"/>
      <c r="G55" s="89">
        <f>IF(D55="Open-loop",VLOOKUP(Overview!$C$15,'GHG Emission Factors'!$B:$DJ,86,0),IF(D55="Closed-loop",VLOOKUP(Overview!$C$15,'GHG Emission Factors'!$B:$DJ,87,0),IF(D55="Combustion",VLOOKUP(Overview!$C$15,'GHG Emission Factors'!$B:$DJ,88,0),IF(D55="Landfill",VLOOKUP(Overview!$C$15,'GHG Emission Factors'!$B:$DJ,89,0),0))))</f>
        <v>0</v>
      </c>
      <c r="H55" s="110" t="str">
        <f t="shared" ref="H55:H63" si="3">IF(F55="","Enter Consumption Figure",(F55*G55)/1000)</f>
        <v>Enter Consumption Figure</v>
      </c>
      <c r="I55" s="111"/>
      <c r="J55" s="111"/>
    </row>
    <row r="56" spans="2:10" x14ac:dyDescent="0.3">
      <c r="B56" s="123" t="s">
        <v>600</v>
      </c>
      <c r="C56" s="107" t="s">
        <v>593</v>
      </c>
      <c r="D56" s="17" t="s">
        <v>455</v>
      </c>
      <c r="E56" s="108" t="str">
        <f>IF(Overview!$C$15="","",Overview!$C$15)</f>
        <v>2019-20</v>
      </c>
      <c r="F56" s="52"/>
      <c r="G56" s="89">
        <f>IF(D56="Combustion",VLOOKUP(Overview!$C$15,'GHG Emission Factors'!$B:$DJ,90,0),IF(D56="Composting",VLOOKUP(Overview!$C$15,'GHG Emission Factors'!$B:$DJ,91,0),IF(D56="Landfill",VLOOKUP(Overview!$C$15,'GHG Emission Factors'!$B:$DJ,92,0),IF(D56="Anaerobic digestion",VLOOKUP(Overview!$C$15,'GHG Emission Factors'!$B:$DJ,93,0),0))))</f>
        <v>0</v>
      </c>
      <c r="H56" s="110" t="str">
        <f t="shared" si="3"/>
        <v>Enter Consumption Figure</v>
      </c>
      <c r="I56" s="111"/>
      <c r="J56" s="111"/>
    </row>
    <row r="57" spans="2:10" x14ac:dyDescent="0.3">
      <c r="B57" s="123" t="s">
        <v>601</v>
      </c>
      <c r="C57" s="107" t="s">
        <v>593</v>
      </c>
      <c r="D57" s="17" t="s">
        <v>455</v>
      </c>
      <c r="E57" s="108" t="str">
        <f>IF(Overview!$C$15="","",Overview!$C$15)</f>
        <v>2019-20</v>
      </c>
      <c r="F57" s="52"/>
      <c r="G57" s="89">
        <f>IF(D57="Closed-loop",VLOOKUP(Overview!$C$15,'GHG Emission Factors'!$B:$DJ,94,0),IF(D57="Combustion",VLOOKUP(Overview!$C$15,'GHG Emission Factors'!$B:$DJ,95,0),IF(D57="composting",VLOOKUP(Overview!$C$15,'GHG Emission Factors'!$B:$DJ,96,0),IF(D57="landfill",VLOOKUP(Overview!$C$15,'GHG Emission Factors'!$B:$DJ,97,0),IF(D57="Anaerobic digestion",VLOOKUP(Overview!$C$15,'GHG Emission Factors'!$B:$DJ,98,0),0)))))</f>
        <v>0</v>
      </c>
      <c r="H57" s="110" t="str">
        <f t="shared" si="3"/>
        <v>Enter Consumption Figure</v>
      </c>
      <c r="I57" s="111"/>
      <c r="J57" s="111"/>
    </row>
    <row r="58" spans="2:10" x14ac:dyDescent="0.3">
      <c r="B58" s="123" t="s">
        <v>602</v>
      </c>
      <c r="C58" s="107" t="s">
        <v>593</v>
      </c>
      <c r="D58" s="17" t="s">
        <v>455</v>
      </c>
      <c r="E58" s="108" t="str">
        <f>IF(Overview!$C$15="","",Overview!$C$15)</f>
        <v>2019-20</v>
      </c>
      <c r="F58" s="52"/>
      <c r="G58" s="89">
        <f>IF(D58="Open-loop",VLOOKUP(Overview!$C$15,'GHG Emission Factors'!$B:$DJ,99,0),IF(D58="Combustion",VLOOKUP(Overview!$C$15,'GHG Emission Factors'!$B:$DJ,100,0),IF(D58="Landfill",VLOOKUP(Overview!$C$15,'GHG Emission Factors'!$B:$DJ,101,0),0)))</f>
        <v>0</v>
      </c>
      <c r="H58" s="110" t="str">
        <f t="shared" si="3"/>
        <v>Enter Consumption Figure</v>
      </c>
      <c r="I58" s="111"/>
      <c r="J58" s="78"/>
    </row>
    <row r="59" spans="2:10" x14ac:dyDescent="0.3">
      <c r="B59" s="123" t="s">
        <v>603</v>
      </c>
      <c r="C59" s="107" t="s">
        <v>593</v>
      </c>
      <c r="D59" s="17" t="s">
        <v>455</v>
      </c>
      <c r="E59" s="108" t="str">
        <f>IF(Overview!$C$15="","",Overview!$C$15)</f>
        <v>2019-20</v>
      </c>
      <c r="F59" s="52"/>
      <c r="G59" s="89">
        <f>IF(D59="Open-loop",VLOOKUP(Overview!$C$15,'GHG Emission Factors'!$B:$DJ,102,0),IF(D59="Closed-loop",VLOOKUP(Overview!$C$15,'GHG Emission Factors'!$B:$DJ,103,0),IF(D59="Combustion",VLOOKUP(Overview!$C$15,'GHG Emission Factors'!$B:$DJ,104,0),IF(D59="Landfill",VLOOKUP(Overview!$C$15,'GHG Emission Factors'!$B:$DJ,105,0),0))))</f>
        <v>0</v>
      </c>
      <c r="H59" s="110" t="str">
        <f t="shared" si="3"/>
        <v>Enter Consumption Figure</v>
      </c>
      <c r="I59" s="111"/>
      <c r="J59" s="78"/>
    </row>
    <row r="60" spans="2:10" x14ac:dyDescent="0.3">
      <c r="B60" s="123" t="s">
        <v>595</v>
      </c>
      <c r="C60" s="107" t="s">
        <v>593</v>
      </c>
      <c r="D60" s="17" t="s">
        <v>455</v>
      </c>
      <c r="E60" s="108" t="str">
        <f>IF(Overview!$C$15="","",Overview!$C$15)</f>
        <v>2019-20</v>
      </c>
      <c r="F60" s="52"/>
      <c r="G60" s="89">
        <f>IF(D60="Open-loop",VLOOKUP(Overview!$C$15,'GHG Emission Factors'!$B:$DJ,106,0),IF(D60="Closed-loop",VLOOKUP(Overview!$C$15,'GHG Emission Factors'!$B:$DJ,107,0),IF(D60="Combustion",VLOOKUP(Overview!$C$15,'GHG Emission Factors'!$B:$DJ,108,0),IF(D60="Landfill",VLOOKUP(Overview!$C$15,'GHG Emission Factors'!$B:$DJ,109,0),0))))</f>
        <v>0</v>
      </c>
      <c r="H60" s="110" t="str">
        <f t="shared" si="3"/>
        <v>Enter Consumption Figure</v>
      </c>
      <c r="I60" s="111"/>
      <c r="J60" s="111"/>
    </row>
    <row r="61" spans="2:10" x14ac:dyDescent="0.3">
      <c r="B61" s="123" t="s">
        <v>605</v>
      </c>
      <c r="C61" s="107" t="s">
        <v>593</v>
      </c>
      <c r="D61" s="17" t="s">
        <v>455</v>
      </c>
      <c r="E61" s="108" t="str">
        <f>IF(Overview!$C$15="","",Overview!$C$15)</f>
        <v>2019-20</v>
      </c>
      <c r="F61" s="52"/>
      <c r="G61" s="89">
        <f>IF(D61="Closed-loop",VLOOKUP(Overview!$C$15,'GHG Emission Factors'!$B:$DJ,110,0),IF(D61="Combustion",VLOOKUP(Overview!$C$15,'GHG Emission Factors'!$B:$DJ,111,0),IF(D61="Composting",VLOOKUP(Overview!$C$15,'GHG Emission Factors'!$B:$DJ,112,0),IF(D61="Landfill",VLOOKUP(Overview!$C$15,'GHG Emission Factors'!$B:$DJ,113,0),0))))</f>
        <v>0</v>
      </c>
      <c r="H61" s="110" t="str">
        <f t="shared" si="3"/>
        <v>Enter Consumption Figure</v>
      </c>
      <c r="I61" s="111"/>
      <c r="J61" s="111"/>
    </row>
    <row r="62" spans="2:10" x14ac:dyDescent="0.3">
      <c r="B62" s="86" t="s">
        <v>672</v>
      </c>
      <c r="C62" s="87" t="s">
        <v>25</v>
      </c>
      <c r="D62" s="126"/>
      <c r="E62" s="108" t="str">
        <f>IF(Overview!$C$15="","",Overview!$C$15)</f>
        <v>2019-20</v>
      </c>
      <c r="F62" s="52"/>
      <c r="G62" s="89">
        <f>IFERROR(VLOOKUP(Overview!$C$15,'GHG Emission Factors'!$B:$DJ,31,0),"")</f>
        <v>8.931E-2</v>
      </c>
      <c r="H62" s="110" t="str">
        <f t="shared" si="3"/>
        <v>Enter Consumption Figure</v>
      </c>
      <c r="I62" s="111"/>
      <c r="J62" s="111"/>
    </row>
    <row r="63" spans="2:10" x14ac:dyDescent="0.3">
      <c r="B63" s="86" t="s">
        <v>673</v>
      </c>
      <c r="C63" s="87" t="s">
        <v>26</v>
      </c>
      <c r="D63" s="126"/>
      <c r="E63" s="108" t="str">
        <f>IF(Overview!$C$15="","",Overview!$C$15)</f>
        <v>2019-20</v>
      </c>
      <c r="F63" s="52"/>
      <c r="G63" s="89">
        <f>IFERROR(VLOOKUP(Overview!$C$15,'GHG Emission Factors'!$B:$DJ,70,0),"")</f>
        <v>7.5799999999999999E-3</v>
      </c>
      <c r="H63" s="110" t="str">
        <f t="shared" si="3"/>
        <v>Enter Consumption Figure</v>
      </c>
      <c r="I63" s="111"/>
      <c r="J63" s="111"/>
    </row>
    <row r="64" spans="2:10" x14ac:dyDescent="0.3">
      <c r="B64" s="52" t="s">
        <v>604</v>
      </c>
      <c r="C64" s="52"/>
      <c r="D64" s="52"/>
      <c r="E64" s="108" t="str">
        <f>IF(Overview!$C$15="","",Overview!$C$15)</f>
        <v>2019-20</v>
      </c>
      <c r="F64" s="52"/>
      <c r="G64" s="52"/>
      <c r="H64" s="52"/>
      <c r="I64" s="111"/>
      <c r="J64" s="111"/>
    </row>
    <row r="65" spans="2:10" ht="13.25" customHeight="1" x14ac:dyDescent="0.3">
      <c r="B65" s="52" t="s">
        <v>604</v>
      </c>
      <c r="C65" s="52"/>
      <c r="D65" s="52"/>
      <c r="E65" s="108" t="str">
        <f>IF(Overview!$C$15="","",Overview!$C$15)</f>
        <v>2019-20</v>
      </c>
      <c r="F65" s="52"/>
      <c r="G65" s="52"/>
      <c r="H65" s="52"/>
      <c r="I65" s="111"/>
      <c r="J65" s="111"/>
    </row>
    <row r="66" spans="2:10" ht="13.25" customHeight="1" x14ac:dyDescent="0.3">
      <c r="B66" s="52" t="s">
        <v>604</v>
      </c>
      <c r="C66" s="52"/>
      <c r="D66" s="52"/>
      <c r="E66" s="108" t="str">
        <f>IF(Overview!$C$15="","",Overview!$C$15)</f>
        <v>2019-20</v>
      </c>
      <c r="F66" s="52"/>
      <c r="G66" s="52"/>
      <c r="H66" s="52"/>
      <c r="I66" s="111"/>
      <c r="J66" s="111"/>
    </row>
    <row r="67" spans="2:10" ht="13.25" customHeight="1" x14ac:dyDescent="0.3">
      <c r="B67" s="52" t="s">
        <v>604</v>
      </c>
      <c r="C67" s="52"/>
      <c r="D67" s="52"/>
      <c r="E67" s="108" t="str">
        <f>IF(Overview!$C$15="","",Overview!$C$15)</f>
        <v>2019-20</v>
      </c>
      <c r="F67" s="52"/>
      <c r="G67" s="52"/>
      <c r="H67" s="52"/>
      <c r="I67" s="111"/>
      <c r="J67" s="111"/>
    </row>
    <row r="68" spans="2:10" x14ac:dyDescent="0.3">
      <c r="B68" s="111"/>
      <c r="C68" s="111"/>
      <c r="D68" s="111"/>
      <c r="E68" s="111"/>
      <c r="F68" s="111"/>
      <c r="G68" s="111"/>
      <c r="H68" s="111"/>
      <c r="I68" s="111"/>
      <c r="J68" s="111"/>
    </row>
    <row r="69" spans="2:10" ht="14.5" thickBot="1" x14ac:dyDescent="0.35">
      <c r="B69" s="60"/>
      <c r="C69" s="60"/>
      <c r="D69" s="60"/>
      <c r="E69" s="60"/>
      <c r="F69" s="60"/>
      <c r="G69" s="60"/>
      <c r="H69" s="60"/>
      <c r="I69" s="111"/>
      <c r="J69" s="111"/>
    </row>
    <row r="70" spans="2:10" x14ac:dyDescent="0.3">
      <c r="B70" s="81"/>
      <c r="C70" s="81"/>
      <c r="D70" s="81"/>
      <c r="E70" s="81"/>
      <c r="F70" s="81"/>
      <c r="G70" s="81"/>
      <c r="H70" s="81"/>
    </row>
    <row r="71" spans="2:10" s="57" customFormat="1" x14ac:dyDescent="0.3">
      <c r="B71" s="98" t="s">
        <v>541</v>
      </c>
      <c r="C71" s="99"/>
      <c r="D71" s="99"/>
      <c r="E71" s="99"/>
      <c r="F71" s="99"/>
      <c r="G71" s="99"/>
    </row>
    <row r="72" spans="2:10" s="57" customFormat="1" x14ac:dyDescent="0.3">
      <c r="B72" s="168"/>
      <c r="C72" s="168"/>
      <c r="D72" s="168"/>
      <c r="E72" s="168"/>
      <c r="F72" s="168"/>
      <c r="G72" s="168"/>
    </row>
    <row r="73" spans="2:10" s="57" customFormat="1" x14ac:dyDescent="0.3">
      <c r="B73" s="168"/>
      <c r="C73" s="168"/>
      <c r="D73" s="168"/>
      <c r="E73" s="168"/>
      <c r="F73" s="168"/>
      <c r="G73" s="168"/>
    </row>
    <row r="74" spans="2:10" s="57" customFormat="1" x14ac:dyDescent="0.3">
      <c r="B74" s="168"/>
      <c r="C74" s="168"/>
      <c r="D74" s="168"/>
      <c r="E74" s="168"/>
      <c r="F74" s="168"/>
      <c r="G74" s="168"/>
    </row>
    <row r="75" spans="2:10" s="57" customFormat="1" x14ac:dyDescent="0.3">
      <c r="B75" s="168"/>
      <c r="C75" s="168"/>
      <c r="D75" s="168"/>
      <c r="E75" s="168"/>
      <c r="F75" s="168"/>
      <c r="G75" s="168"/>
    </row>
    <row r="76" spans="2:10" s="57" customFormat="1" x14ac:dyDescent="0.3">
      <c r="B76" s="168"/>
      <c r="C76" s="168"/>
      <c r="D76" s="168"/>
      <c r="E76" s="168"/>
      <c r="F76" s="168"/>
      <c r="G76" s="168"/>
    </row>
    <row r="77" spans="2:10" s="57" customFormat="1" x14ac:dyDescent="0.3">
      <c r="B77" s="168"/>
      <c r="C77" s="168"/>
      <c r="D77" s="168"/>
      <c r="E77" s="168"/>
      <c r="F77" s="168"/>
      <c r="G77" s="168"/>
    </row>
    <row r="78" spans="2:10" s="57" customFormat="1" x14ac:dyDescent="0.3">
      <c r="B78" s="168"/>
      <c r="C78" s="168"/>
      <c r="D78" s="168"/>
      <c r="E78" s="168"/>
      <c r="F78" s="168"/>
      <c r="G78" s="168"/>
    </row>
    <row r="79" spans="2:10" s="57" customFormat="1" x14ac:dyDescent="0.3">
      <c r="B79" s="168"/>
      <c r="C79" s="168"/>
      <c r="D79" s="168"/>
      <c r="E79" s="168"/>
      <c r="F79" s="168"/>
      <c r="G79" s="168"/>
    </row>
    <row r="80" spans="2:10" s="57" customFormat="1" x14ac:dyDescent="0.3">
      <c r="B80" s="168"/>
      <c r="C80" s="168"/>
      <c r="D80" s="168"/>
      <c r="E80" s="168"/>
      <c r="F80" s="168"/>
      <c r="G80" s="168"/>
    </row>
    <row r="81" spans="2:7" s="57" customFormat="1" x14ac:dyDescent="0.3">
      <c r="B81" s="168"/>
      <c r="C81" s="168"/>
      <c r="D81" s="168"/>
      <c r="E81" s="168"/>
      <c r="F81" s="168"/>
      <c r="G81" s="168"/>
    </row>
    <row r="82" spans="2:7" s="57" customFormat="1" x14ac:dyDescent="0.3">
      <c r="B82" s="168"/>
      <c r="C82" s="168"/>
      <c r="D82" s="168"/>
      <c r="E82" s="168"/>
      <c r="F82" s="168"/>
      <c r="G82" s="168"/>
    </row>
    <row r="83" spans="2:7" s="57" customFormat="1" x14ac:dyDescent="0.3">
      <c r="B83" s="168"/>
      <c r="C83" s="168"/>
      <c r="D83" s="168"/>
      <c r="E83" s="168"/>
      <c r="F83" s="168"/>
      <c r="G83" s="168"/>
    </row>
    <row r="84" spans="2:7" s="57" customFormat="1" x14ac:dyDescent="0.3">
      <c r="B84" s="168"/>
      <c r="C84" s="168"/>
      <c r="D84" s="168"/>
      <c r="E84" s="168"/>
      <c r="F84" s="168"/>
      <c r="G84" s="168"/>
    </row>
    <row r="85" spans="2:7" s="57" customFormat="1" x14ac:dyDescent="0.3">
      <c r="B85" s="168"/>
      <c r="C85" s="168"/>
      <c r="D85" s="168"/>
      <c r="E85" s="168"/>
      <c r="F85" s="168"/>
      <c r="G85" s="168"/>
    </row>
    <row r="86" spans="2:7" x14ac:dyDescent="0.3">
      <c r="B86" s="168"/>
      <c r="C86" s="168"/>
      <c r="D86" s="168"/>
      <c r="E86" s="168"/>
      <c r="F86" s="168"/>
      <c r="G86" s="168"/>
    </row>
    <row r="87" spans="2:7" x14ac:dyDescent="0.3">
      <c r="B87" s="168"/>
      <c r="C87" s="168"/>
      <c r="D87" s="168"/>
      <c r="E87" s="168"/>
      <c r="F87" s="168"/>
      <c r="G87" s="168"/>
    </row>
    <row r="88" spans="2:7" x14ac:dyDescent="0.3">
      <c r="B88" s="168"/>
      <c r="C88" s="168"/>
      <c r="D88" s="168"/>
      <c r="E88" s="168"/>
      <c r="F88" s="168"/>
      <c r="G88" s="168"/>
    </row>
    <row r="89" spans="2:7" x14ac:dyDescent="0.3">
      <c r="B89" s="168"/>
      <c r="C89" s="168"/>
      <c r="D89" s="168"/>
      <c r="E89" s="168"/>
      <c r="F89" s="168"/>
      <c r="G89" s="168"/>
    </row>
    <row r="90" spans="2:7" x14ac:dyDescent="0.3">
      <c r="B90" s="168"/>
      <c r="C90" s="168"/>
      <c r="D90" s="168"/>
      <c r="E90" s="168"/>
      <c r="F90" s="168"/>
      <c r="G90" s="168"/>
    </row>
    <row r="91" spans="2:7" x14ac:dyDescent="0.3">
      <c r="B91" s="168"/>
      <c r="C91" s="168"/>
      <c r="D91" s="168"/>
      <c r="E91" s="168"/>
      <c r="F91" s="168"/>
      <c r="G91" s="168"/>
    </row>
    <row r="92" spans="2:7" x14ac:dyDescent="0.3">
      <c r="B92" s="69"/>
      <c r="C92" s="69"/>
      <c r="D92" s="69"/>
      <c r="E92" s="69"/>
      <c r="F92" s="69"/>
      <c r="G92" s="69"/>
    </row>
    <row r="93" spans="2:7" x14ac:dyDescent="0.3">
      <c r="B93" s="73" t="s">
        <v>537</v>
      </c>
      <c r="C93" s="74"/>
      <c r="D93" s="74"/>
    </row>
    <row r="94" spans="2:7" x14ac:dyDescent="0.3">
      <c r="B94" s="160" t="s">
        <v>573</v>
      </c>
      <c r="C94" s="160"/>
      <c r="D94" s="160"/>
    </row>
    <row r="99" spans="2:7" x14ac:dyDescent="0.3">
      <c r="B99" s="163" t="s">
        <v>677</v>
      </c>
      <c r="C99" s="163"/>
      <c r="D99" s="163"/>
      <c r="E99" s="163"/>
      <c r="F99" s="163"/>
      <c r="G99" s="163"/>
    </row>
    <row r="100" spans="2:7" x14ac:dyDescent="0.3">
      <c r="B100" s="163"/>
      <c r="C100" s="163"/>
      <c r="D100" s="163"/>
      <c r="E100" s="163"/>
      <c r="F100" s="163"/>
      <c r="G100" s="163"/>
    </row>
  </sheetData>
  <mergeCells count="3">
    <mergeCell ref="B72:G91"/>
    <mergeCell ref="B94:D94"/>
    <mergeCell ref="B99:G100"/>
  </mergeCells>
  <conditionalFormatting sqref="G35:G36">
    <cfRule type="cellIs" dxfId="13" priority="23" operator="equal">
      <formula>"Enter Consumption Figure"</formula>
    </cfRule>
  </conditionalFormatting>
  <conditionalFormatting sqref="G18:G30">
    <cfRule type="cellIs" dxfId="12" priority="19" operator="equal">
      <formula>"Enter Consumption Figure"</formula>
    </cfRule>
  </conditionalFormatting>
  <conditionalFormatting sqref="H41">
    <cfRule type="cellIs" dxfId="11" priority="9" operator="equal">
      <formula>"Enter Consumption Figure"</formula>
    </cfRule>
  </conditionalFormatting>
  <conditionalFormatting sqref="H42">
    <cfRule type="cellIs" dxfId="10" priority="8" operator="equal">
      <formula>"Enter Consumption Figure"</formula>
    </cfRule>
  </conditionalFormatting>
  <conditionalFormatting sqref="H43">
    <cfRule type="cellIs" dxfId="9" priority="7" operator="equal">
      <formula>"Enter Consumption Figure"</formula>
    </cfRule>
  </conditionalFormatting>
  <conditionalFormatting sqref="H44:H46">
    <cfRule type="cellIs" dxfId="8" priority="6" operator="equal">
      <formula>"Enter Consumption Figure"</formula>
    </cfRule>
  </conditionalFormatting>
  <conditionalFormatting sqref="H55">
    <cfRule type="cellIs" dxfId="7" priority="5" operator="equal">
      <formula>"Enter Consumption Figure"</formula>
    </cfRule>
  </conditionalFormatting>
  <conditionalFormatting sqref="H56">
    <cfRule type="cellIs" dxfId="6" priority="4" operator="equal">
      <formula>"Enter Consumption Figure"</formula>
    </cfRule>
  </conditionalFormatting>
  <conditionalFormatting sqref="H57">
    <cfRule type="cellIs" dxfId="5" priority="3" operator="equal">
      <formula>"Enter Consumption Figure"</formula>
    </cfRule>
  </conditionalFormatting>
  <conditionalFormatting sqref="H58">
    <cfRule type="cellIs" dxfId="4" priority="2" operator="equal">
      <formula>"Enter Consumption Figure"</formula>
    </cfRule>
  </conditionalFormatting>
  <conditionalFormatting sqref="H59:H63">
    <cfRule type="cellIs" dxfId="3" priority="1" operator="equal">
      <formula>"Enter Consumption Figure"</formula>
    </cfRule>
  </conditionalFormatting>
  <dataValidations count="2">
    <dataValidation type="custom" allowBlank="1" showInputMessage="1" showErrorMessage="1" errorTitle="Not a Valid Value" error="The data entered is not a valid value, please click the &quot;Retry&quot; button and enter the consumption figure in a number format." sqref="E18:E30 E35:E36 G47:H50 F41:F50 G64:H67 F55:F67" xr:uid="{20AA2189-FE47-4E9A-B660-56BF7EED6103}">
      <formula1>ISNUMBER(E18)</formula1>
    </dataValidation>
    <dataValidation allowBlank="1" showInputMessage="1" showErrorMessage="1" errorTitle="Not a Valid Value" error="The data entered is not a valid value, please click the &quot;Retry&quot; button and enter the consumption figure in a number format." sqref="C47:D50 D62:D63 C64:D67" xr:uid="{2310D3BA-9C8E-4BC4-B532-2CEEC6853D91}"/>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4591E8AE-B8EC-401D-8CFD-EDED5F2D262A}">
          <x14:formula1>
            <xm:f>'List Tab'!$V$4:$V$7</xm:f>
          </x14:formula1>
          <xm:sqref>D43:D45</xm:sqref>
        </x14:dataValidation>
        <x14:dataValidation type="list" allowBlank="1" showInputMessage="1" showErrorMessage="1" xr:uid="{9B71A14A-3074-4393-BABB-5DDD42D48224}">
          <x14:formula1>
            <xm:f>'List Tab'!$X$4:$X$6</xm:f>
          </x14:formula1>
          <xm:sqref>D46</xm:sqref>
        </x14:dataValidation>
        <x14:dataValidation type="list" allowBlank="1" showInputMessage="1" showErrorMessage="1" xr:uid="{342955AF-5B62-4325-9907-F2629A1CD7B3}">
          <x14:formula1>
            <xm:f>'List Tab'!$Z$4:$Z$8</xm:f>
          </x14:formula1>
          <xm:sqref>D55</xm:sqref>
        </x14:dataValidation>
        <x14:dataValidation type="list" allowBlank="1" showInputMessage="1" showErrorMessage="1" xr:uid="{484B5DDB-C417-48C1-962B-9993F9682C74}">
          <x14:formula1>
            <xm:f>'List Tab'!$AB$4:$AB$8</xm:f>
          </x14:formula1>
          <xm:sqref>D56</xm:sqref>
        </x14:dataValidation>
        <x14:dataValidation type="list" allowBlank="1" showInputMessage="1" showErrorMessage="1" xr:uid="{F19B3DCE-14BC-4809-A529-3405A60606C2}">
          <x14:formula1>
            <xm:f>'List Tab'!$AD$4:$AD$9</xm:f>
          </x14:formula1>
          <xm:sqref>D57</xm:sqref>
        </x14:dataValidation>
        <x14:dataValidation type="list" allowBlank="1" showInputMessage="1" showErrorMessage="1" xr:uid="{8CE77D15-FDAE-4ADC-BCBE-9338A0E570F9}">
          <x14:formula1>
            <xm:f>'List Tab'!$AF$4:$AF$7</xm:f>
          </x14:formula1>
          <xm:sqref>D58</xm:sqref>
        </x14:dataValidation>
        <x14:dataValidation type="list" allowBlank="1" showInputMessage="1" showErrorMessage="1" xr:uid="{964D8DF1-CBCF-46FD-9C31-EDFBD3DE3EF0}">
          <x14:formula1>
            <xm:f>'List Tab'!$AH$4:$AH$8</xm:f>
          </x14:formula1>
          <xm:sqref>D59</xm:sqref>
        </x14:dataValidation>
        <x14:dataValidation type="list" allowBlank="1" showInputMessage="1" showErrorMessage="1" xr:uid="{6265ABC5-25BB-40AD-95E7-EEF9E6D08E66}">
          <x14:formula1>
            <xm:f>'List Tab'!$AJ$4:$AJ$8</xm:f>
          </x14:formula1>
          <xm:sqref>D60</xm:sqref>
        </x14:dataValidation>
        <x14:dataValidation type="list" allowBlank="1" showInputMessage="1" showErrorMessage="1" xr:uid="{F6AB4DD7-C2AB-4F1A-82AA-9FED8B837CA3}">
          <x14:formula1>
            <xm:f>'List Tab'!$AL$4:$AL$8</xm:f>
          </x14:formula1>
          <xm:sqref>D61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64A8C-C4EB-4B0A-8B2D-22441CFACA3F}">
  <sheetPr>
    <tabColor rgb="FFCFDB00"/>
  </sheetPr>
  <dimension ref="B1:I123"/>
  <sheetViews>
    <sheetView showGridLines="0" zoomScale="80" zoomScaleNormal="80" workbookViewId="0">
      <selection activeCell="F22" sqref="F22"/>
    </sheetView>
  </sheetViews>
  <sheetFormatPr defaultColWidth="8.83203125" defaultRowHeight="14" x14ac:dyDescent="0.3"/>
  <cols>
    <col min="2" max="2" width="18.83203125" bestFit="1" customWidth="1"/>
    <col min="3" max="3" width="33.6640625" bestFit="1" customWidth="1"/>
    <col min="4" max="4" width="47.08203125" bestFit="1" customWidth="1"/>
    <col min="5" max="5" width="13.6640625" bestFit="1" customWidth="1"/>
    <col min="6" max="6" width="29.08203125" bestFit="1" customWidth="1"/>
    <col min="7" max="7" width="18.83203125" bestFit="1" customWidth="1"/>
    <col min="8" max="8" width="18" bestFit="1" customWidth="1"/>
    <col min="9" max="9" width="57.08203125" bestFit="1" customWidth="1"/>
    <col min="10" max="10" width="10.33203125" bestFit="1" customWidth="1"/>
    <col min="11" max="11" width="13.58203125" bestFit="1" customWidth="1"/>
    <col min="12" max="12" width="13.58203125" customWidth="1"/>
  </cols>
  <sheetData>
    <row r="1" spans="2:9" s="1" customFormat="1" x14ac:dyDescent="0.3"/>
    <row r="2" spans="2:9" s="1" customFormat="1" x14ac:dyDescent="0.3"/>
    <row r="3" spans="2:9" s="1" customFormat="1" x14ac:dyDescent="0.3"/>
    <row r="4" spans="2:9" s="1" customFormat="1" x14ac:dyDescent="0.3">
      <c r="G4"/>
      <c r="H4"/>
      <c r="I4"/>
    </row>
    <row r="5" spans="2:9" s="1" customFormat="1" x14ac:dyDescent="0.3">
      <c r="G5"/>
      <c r="H5"/>
      <c r="I5"/>
    </row>
    <row r="8" spans="2:9" x14ac:dyDescent="0.3">
      <c r="B8" s="5" t="s">
        <v>461</v>
      </c>
    </row>
    <row r="9" spans="2:9" ht="14.5" thickBot="1" x14ac:dyDescent="0.35"/>
    <row r="10" spans="2:9" ht="42" x14ac:dyDescent="0.3">
      <c r="B10" s="19" t="s">
        <v>0</v>
      </c>
      <c r="C10" s="20" t="s">
        <v>450</v>
      </c>
      <c r="D10" s="20" t="s">
        <v>543</v>
      </c>
      <c r="E10" s="21" t="s">
        <v>453</v>
      </c>
    </row>
    <row r="11" spans="2:9" x14ac:dyDescent="0.3">
      <c r="B11" s="186" t="s">
        <v>43</v>
      </c>
      <c r="C11" s="16" t="str">
        <f>'Scope 1'!$B$14</f>
        <v>Heating</v>
      </c>
      <c r="D11" s="31">
        <f>SUM('Scope 1'!G17:G24)</f>
        <v>0</v>
      </c>
      <c r="E11" s="32">
        <f>IFERROR((D11/$D$22),0)</f>
        <v>0</v>
      </c>
    </row>
    <row r="12" spans="2:9" x14ac:dyDescent="0.3">
      <c r="B12" s="187"/>
      <c r="C12" s="16" t="e">
        <f>'Scope 1'!#REF!</f>
        <v>#REF!</v>
      </c>
      <c r="D12" s="31" t="e">
        <f>SUM('Scope 1'!#REF!)</f>
        <v>#REF!</v>
      </c>
      <c r="E12" s="32">
        <f>IFERROR((D12/$D$22),0)</f>
        <v>0</v>
      </c>
    </row>
    <row r="13" spans="2:9" x14ac:dyDescent="0.3">
      <c r="B13" s="188"/>
      <c r="C13" s="16" t="str">
        <f>'Scope 1'!$B$26</f>
        <v>Authority's Fleet</v>
      </c>
      <c r="D13" s="31">
        <f>SUM('Scope 1'!G29:G47)</f>
        <v>0</v>
      </c>
      <c r="E13" s="32">
        <f>IFERROR((D13/$D$22),0)</f>
        <v>0</v>
      </c>
    </row>
    <row r="14" spans="2:9" x14ac:dyDescent="0.3">
      <c r="B14" s="49" t="s">
        <v>44</v>
      </c>
      <c r="C14" s="16" t="str">
        <f>'Scope 2'!$B$15</f>
        <v>Electricity</v>
      </c>
      <c r="D14" s="31">
        <f>SUM('Scope 2'!G18:G40)</f>
        <v>7.6680000000000001</v>
      </c>
      <c r="E14" s="32">
        <f>IFERROR((D14/$D$22),0)</f>
        <v>0</v>
      </c>
    </row>
    <row r="15" spans="2:9" x14ac:dyDescent="0.3">
      <c r="B15" s="186" t="s">
        <v>41</v>
      </c>
      <c r="C15" s="16" t="s">
        <v>561</v>
      </c>
      <c r="D15" s="31">
        <f>SUM('Scope 3'!G18:G30)</f>
        <v>0</v>
      </c>
      <c r="E15" s="32">
        <f>IFERROR((D15/$D$22),0)</f>
        <v>0</v>
      </c>
    </row>
    <row r="16" spans="2:9" x14ac:dyDescent="0.3">
      <c r="B16" s="187"/>
      <c r="C16" s="16" t="e">
        <f>'Scope 3'!#REF!</f>
        <v>#REF!</v>
      </c>
      <c r="D16" s="31" t="e">
        <f>SUM('Scope 3'!#REF!)</f>
        <v>#REF!</v>
      </c>
      <c r="E16" s="32">
        <f t="shared" ref="E16:E17" si="0">IFERROR((D16/$D$22),0)</f>
        <v>0</v>
      </c>
    </row>
    <row r="17" spans="2:7" x14ac:dyDescent="0.3">
      <c r="B17" s="187"/>
      <c r="C17" s="18" t="e">
        <f>'Scope 3'!#REF!</f>
        <v>#REF!</v>
      </c>
      <c r="D17" s="33" t="e">
        <f>SUM('Scope 3'!#REF!)</f>
        <v>#REF!</v>
      </c>
      <c r="E17" s="32">
        <f t="shared" si="0"/>
        <v>0</v>
      </c>
    </row>
    <row r="18" spans="2:7" x14ac:dyDescent="0.3">
      <c r="B18" s="187"/>
      <c r="C18" s="16" t="str">
        <f>'Scope 3'!$B$32</f>
        <v>Water</v>
      </c>
      <c r="D18" s="33">
        <f>SUM('Scope 3'!G35:G36)</f>
        <v>0</v>
      </c>
      <c r="E18" s="32">
        <f>IFERROR((D18/$D$22),0)</f>
        <v>0</v>
      </c>
    </row>
    <row r="19" spans="2:7" x14ac:dyDescent="0.3">
      <c r="B19" s="187"/>
      <c r="C19" s="16" t="s">
        <v>591</v>
      </c>
      <c r="D19" s="33">
        <f>SUM('Scope 3'!H41:H50)</f>
        <v>0</v>
      </c>
      <c r="E19" s="32">
        <f>IFERROR((D19/$D$22),0)</f>
        <v>0</v>
      </c>
    </row>
    <row r="20" spans="2:7" x14ac:dyDescent="0.3">
      <c r="B20" s="187"/>
      <c r="C20" s="18" t="s">
        <v>608</v>
      </c>
      <c r="D20" s="33">
        <f>SUM('Scope 3'!H55:H65)</f>
        <v>0</v>
      </c>
      <c r="E20" s="32">
        <f>IFERROR((D20/$D$22),0)</f>
        <v>0</v>
      </c>
    </row>
    <row r="21" spans="2:7" x14ac:dyDescent="0.3">
      <c r="B21" s="188"/>
      <c r="C21" s="16" t="s">
        <v>566</v>
      </c>
      <c r="D21" s="31" t="e">
        <f>SUM(#REF!)</f>
        <v>#REF!</v>
      </c>
      <c r="E21" s="32">
        <f>IFERROR((D21/$D$22),0)</f>
        <v>0</v>
      </c>
    </row>
    <row r="22" spans="2:7" ht="14.5" thickBot="1" x14ac:dyDescent="0.35">
      <c r="B22" s="189" t="s">
        <v>452</v>
      </c>
      <c r="C22" s="190"/>
      <c r="D22" s="114" t="e">
        <f>SUM(D11:D21)</f>
        <v>#REF!</v>
      </c>
      <c r="E22" s="115">
        <f>SUM(E11:E21)</f>
        <v>0</v>
      </c>
    </row>
    <row r="23" spans="2:7" x14ac:dyDescent="0.3">
      <c r="B23" s="5" t="s">
        <v>542</v>
      </c>
    </row>
    <row r="24" spans="2:7" ht="14.5" thickBot="1" x14ac:dyDescent="0.35"/>
    <row r="25" spans="2:7" ht="31.5" thickBot="1" x14ac:dyDescent="0.35">
      <c r="B25" s="22" t="s">
        <v>0</v>
      </c>
      <c r="C25" s="46" t="s">
        <v>450</v>
      </c>
      <c r="D25" s="45" t="s">
        <v>52</v>
      </c>
      <c r="E25" s="47" t="s">
        <v>543</v>
      </c>
      <c r="F25" s="45" t="s">
        <v>490</v>
      </c>
      <c r="G25" s="48" t="s">
        <v>453</v>
      </c>
    </row>
    <row r="26" spans="2:7" x14ac:dyDescent="0.3">
      <c r="B26" s="179" t="s">
        <v>43</v>
      </c>
      <c r="C26" s="172" t="str">
        <f>'Scope 1'!$B$14</f>
        <v>Heating</v>
      </c>
      <c r="D26" s="144" t="str">
        <f>'Scope 1'!B17</f>
        <v>Natural Gas</v>
      </c>
      <c r="E26" s="132">
        <f>IF('Scope 1'!G17="Enter Consumption Figure",0,'Scope 1'!G17)</f>
        <v>0</v>
      </c>
      <c r="F26" s="34">
        <f t="shared" ref="F26:F33" si="1">IFERROR((E26/$D$11),0)</f>
        <v>0</v>
      </c>
      <c r="G26" s="35">
        <f t="shared" ref="G26:G68" si="2">IFERROR((E26/D$22),0)</f>
        <v>0</v>
      </c>
    </row>
    <row r="27" spans="2:7" x14ac:dyDescent="0.3">
      <c r="B27" s="180"/>
      <c r="C27" s="173"/>
      <c r="D27" s="145" t="str">
        <f>'Scope 1'!B18</f>
        <v>Burning Oil - Kerosene</v>
      </c>
      <c r="E27" s="133">
        <f>IF('Scope 1'!G18="Enter Consumption Figure",0,'Scope 1'!G18)</f>
        <v>0</v>
      </c>
      <c r="F27" s="36">
        <f t="shared" si="1"/>
        <v>0</v>
      </c>
      <c r="G27" s="32">
        <f t="shared" si="2"/>
        <v>0</v>
      </c>
    </row>
    <row r="28" spans="2:7" x14ac:dyDescent="0.3">
      <c r="B28" s="180"/>
      <c r="C28" s="173"/>
      <c r="D28" s="145" t="str">
        <f>'Scope 1'!B19</f>
        <v>Gas Oil</v>
      </c>
      <c r="E28" s="133">
        <f>IF('Scope 1'!G19="Enter Consumption Figure",0,'Scope 1'!G19)</f>
        <v>0</v>
      </c>
      <c r="F28" s="36">
        <f t="shared" si="1"/>
        <v>0</v>
      </c>
      <c r="G28" s="32">
        <f t="shared" si="2"/>
        <v>0</v>
      </c>
    </row>
    <row r="29" spans="2:7" x14ac:dyDescent="0.3">
      <c r="B29" s="180"/>
      <c r="C29" s="173"/>
      <c r="D29" s="145" t="str">
        <f>'Scope 1'!B20</f>
        <v>Wood Pellets</v>
      </c>
      <c r="E29" s="133">
        <f>IF('Scope 1'!G20="Enter Consumption Figure",0,'Scope 1'!G20)</f>
        <v>0</v>
      </c>
      <c r="F29" s="36">
        <f t="shared" si="1"/>
        <v>0</v>
      </c>
      <c r="G29" s="32">
        <f t="shared" si="2"/>
        <v>0</v>
      </c>
    </row>
    <row r="30" spans="2:7" x14ac:dyDescent="0.3">
      <c r="B30" s="173"/>
      <c r="C30" s="173"/>
      <c r="D30" s="145" t="s">
        <v>606</v>
      </c>
      <c r="E30" s="133">
        <f>IF('Scope 1'!G21="Enter Consumption Figure",0,'Scope 1'!G21)</f>
        <v>0</v>
      </c>
      <c r="F30" s="36">
        <f t="shared" si="1"/>
        <v>0</v>
      </c>
      <c r="G30" s="32">
        <f t="shared" si="2"/>
        <v>0</v>
      </c>
    </row>
    <row r="31" spans="2:7" x14ac:dyDescent="0.3">
      <c r="B31" s="173"/>
      <c r="C31" s="173"/>
      <c r="D31" s="147" t="s">
        <v>574</v>
      </c>
      <c r="E31" s="133">
        <f>IF('Scope 1'!G22="Enter Consumption Figure",0,'Scope 1'!G22)</f>
        <v>0</v>
      </c>
      <c r="F31" s="36">
        <f t="shared" si="1"/>
        <v>0</v>
      </c>
      <c r="G31" s="32">
        <f t="shared" si="2"/>
        <v>0</v>
      </c>
    </row>
    <row r="32" spans="2:7" x14ac:dyDescent="0.3">
      <c r="B32" s="173"/>
      <c r="C32" s="173"/>
      <c r="D32" s="147" t="s">
        <v>575</v>
      </c>
      <c r="E32" s="133">
        <f>IF('Scope 1'!G23="Enter Consumption Figure",0,'Scope 1'!G23)</f>
        <v>0</v>
      </c>
      <c r="F32" s="36">
        <f t="shared" si="1"/>
        <v>0</v>
      </c>
      <c r="G32" s="32">
        <f t="shared" si="2"/>
        <v>0</v>
      </c>
    </row>
    <row r="33" spans="2:7" ht="14.5" thickBot="1" x14ac:dyDescent="0.35">
      <c r="B33" s="173"/>
      <c r="C33" s="182"/>
      <c r="D33" s="152" t="s">
        <v>576</v>
      </c>
      <c r="E33" s="143">
        <f>IF('Scope 1'!G24="Enter Consumption Figure",0,'Scope 1'!G24)</f>
        <v>0</v>
      </c>
      <c r="F33" s="129">
        <f t="shared" si="1"/>
        <v>0</v>
      </c>
      <c r="G33" s="130">
        <f t="shared" si="2"/>
        <v>0</v>
      </c>
    </row>
    <row r="34" spans="2:7" x14ac:dyDescent="0.3">
      <c r="B34" s="173"/>
      <c r="C34" s="179" t="e">
        <f>'Scope 1'!#REF!</f>
        <v>#REF!</v>
      </c>
      <c r="D34" s="154" t="s">
        <v>555</v>
      </c>
      <c r="E34" s="132" t="e">
        <f>IF('Scope 1'!#REF!="Enter Consumption Figure",0,'Scope 1'!#REF!)</f>
        <v>#REF!</v>
      </c>
      <c r="F34" s="34">
        <f t="shared" ref="F34:F41" si="3">IFERROR((E34/$D$12),0)</f>
        <v>0</v>
      </c>
      <c r="G34" s="35">
        <f t="shared" si="2"/>
        <v>0</v>
      </c>
    </row>
    <row r="35" spans="2:7" x14ac:dyDescent="0.3">
      <c r="B35" s="173"/>
      <c r="C35" s="180"/>
      <c r="D35" s="149" t="s">
        <v>545</v>
      </c>
      <c r="E35" s="133" t="e">
        <f>IF('Scope 1'!#REF!="Enter Consumption Figure",0,'Scope 1'!#REF!)</f>
        <v>#REF!</v>
      </c>
      <c r="F35" s="36">
        <f t="shared" si="3"/>
        <v>0</v>
      </c>
      <c r="G35" s="32">
        <f t="shared" si="2"/>
        <v>0</v>
      </c>
    </row>
    <row r="36" spans="2:7" x14ac:dyDescent="0.3">
      <c r="B36" s="173"/>
      <c r="C36" s="180"/>
      <c r="D36" s="149" t="s">
        <v>553</v>
      </c>
      <c r="E36" s="133" t="e">
        <f>IF('Scope 1'!#REF!="Enter Consumption Figure",0,'Scope 1'!#REF!)</f>
        <v>#REF!</v>
      </c>
      <c r="F36" s="36">
        <f t="shared" si="3"/>
        <v>0</v>
      </c>
      <c r="G36" s="32">
        <f t="shared" si="2"/>
        <v>0</v>
      </c>
    </row>
    <row r="37" spans="2:7" x14ac:dyDescent="0.3">
      <c r="B37" s="173"/>
      <c r="C37" s="180"/>
      <c r="D37" s="150" t="e">
        <f>'Scope 1'!#REF!</f>
        <v>#REF!</v>
      </c>
      <c r="E37" s="134" t="e">
        <f>IF('Scope 1'!#REF!="Enter Consumption Figure",0,'Scope 1'!#REF!)</f>
        <v>#REF!</v>
      </c>
      <c r="F37" s="127">
        <f t="shared" si="3"/>
        <v>0</v>
      </c>
      <c r="G37" s="128">
        <f t="shared" si="2"/>
        <v>0</v>
      </c>
    </row>
    <row r="38" spans="2:7" x14ac:dyDescent="0.3">
      <c r="B38" s="173"/>
      <c r="C38" s="180"/>
      <c r="D38" s="150" t="e">
        <f>'Scope 1'!#REF!</f>
        <v>#REF!</v>
      </c>
      <c r="E38" s="134" t="e">
        <f>IF('Scope 1'!#REF!="Enter Consumption Figure",0,'Scope 1'!#REF!)</f>
        <v>#REF!</v>
      </c>
      <c r="F38" s="127">
        <f t="shared" si="3"/>
        <v>0</v>
      </c>
      <c r="G38" s="128">
        <f t="shared" si="2"/>
        <v>0</v>
      </c>
    </row>
    <row r="39" spans="2:7" x14ac:dyDescent="0.3">
      <c r="B39" s="173"/>
      <c r="C39" s="180"/>
      <c r="D39" s="150" t="e">
        <f>'Scope 1'!#REF!</f>
        <v>#REF!</v>
      </c>
      <c r="E39" s="134" t="e">
        <f>IF('Scope 1'!#REF!="Enter Consumption Figure",0,'Scope 1'!#REF!)</f>
        <v>#REF!</v>
      </c>
      <c r="F39" s="127">
        <f t="shared" si="3"/>
        <v>0</v>
      </c>
      <c r="G39" s="128">
        <f t="shared" si="2"/>
        <v>0</v>
      </c>
    </row>
    <row r="40" spans="2:7" x14ac:dyDescent="0.3">
      <c r="B40" s="173"/>
      <c r="C40" s="180"/>
      <c r="D40" s="150" t="e">
        <f>'Scope 1'!#REF!</f>
        <v>#REF!</v>
      </c>
      <c r="E40" s="134" t="e">
        <f>IF('Scope 1'!#REF!="Enter Consumption Figure",0,'Scope 1'!#REF!)</f>
        <v>#REF!</v>
      </c>
      <c r="F40" s="127">
        <f t="shared" si="3"/>
        <v>0</v>
      </c>
      <c r="G40" s="128">
        <f t="shared" si="2"/>
        <v>0</v>
      </c>
    </row>
    <row r="41" spans="2:7" ht="14.5" thickBot="1" x14ac:dyDescent="0.35">
      <c r="B41" s="173"/>
      <c r="C41" s="181"/>
      <c r="D41" s="146" t="e">
        <f>'Scope 1'!#REF!</f>
        <v>#REF!</v>
      </c>
      <c r="E41" s="139" t="e">
        <f>IF('Scope 1'!#REF!="Enter Consumption Figure",0,'Scope 1'!#REF!)</f>
        <v>#REF!</v>
      </c>
      <c r="F41" s="37">
        <f t="shared" si="3"/>
        <v>0</v>
      </c>
      <c r="G41" s="38">
        <f t="shared" si="2"/>
        <v>0</v>
      </c>
    </row>
    <row r="42" spans="2:7" x14ac:dyDescent="0.3">
      <c r="B42" s="180"/>
      <c r="C42" s="175" t="str">
        <f>'Scope 1'!$B$26</f>
        <v>Authority's Fleet</v>
      </c>
      <c r="D42" s="144" t="str">
        <f>'Scope 1'!B29</f>
        <v>Small diesel car ≤ 1.7 litre</v>
      </c>
      <c r="E42" s="138">
        <f>IF('Scope 1'!G29="Enter Consumption Figure",0,'Scope 1'!G29)</f>
        <v>0</v>
      </c>
      <c r="F42" s="39">
        <f t="shared" ref="F42:F68" si="4">IFERROR((E42/$D$13),0)</f>
        <v>0</v>
      </c>
      <c r="G42" s="35">
        <f t="shared" si="2"/>
        <v>0</v>
      </c>
    </row>
    <row r="43" spans="2:7" x14ac:dyDescent="0.3">
      <c r="B43" s="180"/>
      <c r="C43" s="175"/>
      <c r="D43" s="145" t="str">
        <f>'Scope 1'!B30</f>
        <v>Medium diesel car, 1.7 - 2.0 litre</v>
      </c>
      <c r="E43" s="133">
        <f>IF('Scope 1'!G30="Enter Consumption Figure",0,'Scope 1'!G30)</f>
        <v>0</v>
      </c>
      <c r="F43" s="36">
        <f t="shared" si="4"/>
        <v>0</v>
      </c>
      <c r="G43" s="32">
        <f t="shared" si="2"/>
        <v>0</v>
      </c>
    </row>
    <row r="44" spans="2:7" x14ac:dyDescent="0.3">
      <c r="B44" s="180"/>
      <c r="C44" s="175"/>
      <c r="D44" s="145" t="str">
        <f>'Scope 1'!B31</f>
        <v>Large Diesel Car &gt; 2.0 litre</v>
      </c>
      <c r="E44" s="133">
        <f>IF('Scope 1'!G31="Enter Consumption Figure",0,'Scope 1'!G31)</f>
        <v>0</v>
      </c>
      <c r="F44" s="36">
        <f t="shared" si="4"/>
        <v>0</v>
      </c>
      <c r="G44" s="32">
        <f t="shared" si="2"/>
        <v>0</v>
      </c>
    </row>
    <row r="45" spans="2:7" x14ac:dyDescent="0.3">
      <c r="B45" s="180"/>
      <c r="C45" s="175"/>
      <c r="D45" s="145" t="str">
        <f>'Scope 1'!B32</f>
        <v>MPV - Diesel</v>
      </c>
      <c r="E45" s="133">
        <f>IF('Scope 1'!G32="Enter Consumption Figure",0,'Scope 1'!G32)</f>
        <v>0</v>
      </c>
      <c r="F45" s="36">
        <f t="shared" si="4"/>
        <v>0</v>
      </c>
      <c r="G45" s="32">
        <f t="shared" si="2"/>
        <v>0</v>
      </c>
    </row>
    <row r="46" spans="2:7" x14ac:dyDescent="0.3">
      <c r="B46" s="180"/>
      <c r="C46" s="175"/>
      <c r="D46" s="145" t="str">
        <f>'Scope 1'!B33</f>
        <v>Diesel van Class I (up to 1.305 tonnes)</v>
      </c>
      <c r="E46" s="133">
        <f>IF('Scope 1'!G33="Enter Consumption Figure",0,'Scope 1'!G33)</f>
        <v>0</v>
      </c>
      <c r="F46" s="36">
        <f t="shared" si="4"/>
        <v>0</v>
      </c>
      <c r="G46" s="32">
        <f t="shared" si="2"/>
        <v>0</v>
      </c>
    </row>
    <row r="47" spans="2:7" x14ac:dyDescent="0.3">
      <c r="B47" s="180"/>
      <c r="C47" s="175"/>
      <c r="D47" s="145" t="str">
        <f>'Scope 1'!B34</f>
        <v>Diesel van Class II (1.305 to 1.74 tonnes)</v>
      </c>
      <c r="E47" s="133">
        <f>IF('Scope 1'!G34="Enter Consumption Figure",0,'Scope 1'!G34)</f>
        <v>0</v>
      </c>
      <c r="F47" s="36">
        <f t="shared" si="4"/>
        <v>0</v>
      </c>
      <c r="G47" s="32">
        <f t="shared" si="2"/>
        <v>0</v>
      </c>
    </row>
    <row r="48" spans="2:7" x14ac:dyDescent="0.3">
      <c r="B48" s="180"/>
      <c r="C48" s="175"/>
      <c r="D48" s="145" t="str">
        <f>'Scope 1'!B35</f>
        <v>Diesel van Class III (1.74 to 3.5 tonnes)</v>
      </c>
      <c r="E48" s="133">
        <f>IF('Scope 1'!G35="Enter Consumption Figure",0,'Scope 1'!G35)</f>
        <v>0</v>
      </c>
      <c r="F48" s="36">
        <f t="shared" si="4"/>
        <v>0</v>
      </c>
      <c r="G48" s="32">
        <f t="shared" si="2"/>
        <v>0</v>
      </c>
    </row>
    <row r="49" spans="2:7" x14ac:dyDescent="0.3">
      <c r="B49" s="180"/>
      <c r="C49" s="175"/>
      <c r="D49" s="145" t="str">
        <f>'Scope 1'!B36</f>
        <v>Diesel 4x4</v>
      </c>
      <c r="E49" s="133">
        <f>IF('Scope 1'!G36="Enter Consumption Figure",0,'Scope 1'!G36)</f>
        <v>0</v>
      </c>
      <c r="F49" s="36">
        <f t="shared" si="4"/>
        <v>0</v>
      </c>
      <c r="G49" s="32">
        <f t="shared" si="2"/>
        <v>0</v>
      </c>
    </row>
    <row r="50" spans="2:7" x14ac:dyDescent="0.3">
      <c r="B50" s="180"/>
      <c r="C50" s="175"/>
      <c r="D50" s="145" t="str">
        <f>'Scope 1'!B37</f>
        <v>Minibus - Diesel</v>
      </c>
      <c r="E50" s="133">
        <f>IF('Scope 1'!G37="Enter Consumption Figure",0,'Scope 1'!G37)</f>
        <v>0</v>
      </c>
      <c r="F50" s="36">
        <f t="shared" si="4"/>
        <v>0</v>
      </c>
      <c r="G50" s="32">
        <f t="shared" si="2"/>
        <v>0</v>
      </c>
    </row>
    <row r="51" spans="2:7" x14ac:dyDescent="0.3">
      <c r="B51" s="180"/>
      <c r="C51" s="175"/>
      <c r="D51" s="145" t="str">
        <f>'Scope 1'!B38</f>
        <v>Small Petrol Cars  ≤ 1.4 litre</v>
      </c>
      <c r="E51" s="133">
        <f>IF('Scope 1'!G38="Enter Consumption Figure",0,'Scope 1'!G38)</f>
        <v>0</v>
      </c>
      <c r="F51" s="36">
        <f t="shared" si="4"/>
        <v>0</v>
      </c>
      <c r="G51" s="32">
        <f t="shared" si="2"/>
        <v>0</v>
      </c>
    </row>
    <row r="52" spans="2:7" x14ac:dyDescent="0.3">
      <c r="B52" s="180"/>
      <c r="C52" s="175"/>
      <c r="D52" s="145" t="str">
        <f>'Scope 1'!B39</f>
        <v>Medium Petrol Car 1.4 - 2.0 litre</v>
      </c>
      <c r="E52" s="133">
        <f>IF('Scope 1'!G39="Enter Consumption Figure",0,'Scope 1'!G39)</f>
        <v>0</v>
      </c>
      <c r="F52" s="36">
        <f t="shared" si="4"/>
        <v>0</v>
      </c>
      <c r="G52" s="32">
        <f t="shared" si="2"/>
        <v>0</v>
      </c>
    </row>
    <row r="53" spans="2:7" x14ac:dyDescent="0.3">
      <c r="B53" s="180"/>
      <c r="C53" s="175"/>
      <c r="D53" s="145" t="str">
        <f>'Scope 1'!B40</f>
        <v>Large Petrol Car &gt; 2.0 litre</v>
      </c>
      <c r="E53" s="133">
        <f>IF('Scope 1'!G40="Enter Consumption Figure",0,'Scope 1'!G40)</f>
        <v>0</v>
      </c>
      <c r="F53" s="36">
        <f t="shared" si="4"/>
        <v>0</v>
      </c>
      <c r="G53" s="32">
        <f t="shared" si="2"/>
        <v>0</v>
      </c>
    </row>
    <row r="54" spans="2:7" x14ac:dyDescent="0.3">
      <c r="B54" s="180"/>
      <c r="C54" s="175"/>
      <c r="D54" s="145" t="str">
        <f>'Scope 1'!B41</f>
        <v>Small Hybrid Car - Petrol</v>
      </c>
      <c r="E54" s="133">
        <f>IF('Scope 1'!G41="Enter Consumption Figure",0,'Scope 1'!G41)</f>
        <v>0</v>
      </c>
      <c r="F54" s="36">
        <f t="shared" si="4"/>
        <v>0</v>
      </c>
      <c r="G54" s="32">
        <f t="shared" si="2"/>
        <v>0</v>
      </c>
    </row>
    <row r="55" spans="2:7" x14ac:dyDescent="0.3">
      <c r="B55" s="180"/>
      <c r="C55" s="175"/>
      <c r="D55" s="145" t="str">
        <f>'Scope 1'!B42</f>
        <v>Medium Hybrid Car - Petrol</v>
      </c>
      <c r="E55" s="133">
        <f>IF('Scope 1'!G42="Enter Consumption Figure",0,'Scope 1'!G42)</f>
        <v>0</v>
      </c>
      <c r="F55" s="36">
        <f t="shared" si="4"/>
        <v>0</v>
      </c>
      <c r="G55" s="32">
        <f t="shared" si="2"/>
        <v>0</v>
      </c>
    </row>
    <row r="56" spans="2:7" x14ac:dyDescent="0.3">
      <c r="B56" s="180"/>
      <c r="C56" s="175"/>
      <c r="D56" s="145" t="str">
        <f>'Scope 1'!B43</f>
        <v>Large Hybrid Car - Petrol</v>
      </c>
      <c r="E56" s="133">
        <f>IF('Scope 1'!G43="Enter Consumption Figure",0,'Scope 1'!G43)</f>
        <v>0</v>
      </c>
      <c r="F56" s="36">
        <f t="shared" si="4"/>
        <v>0</v>
      </c>
      <c r="G56" s="32">
        <f t="shared" si="2"/>
        <v>0</v>
      </c>
    </row>
    <row r="57" spans="2:7" x14ac:dyDescent="0.3">
      <c r="B57" s="180"/>
      <c r="C57" s="175"/>
      <c r="D57" s="145" t="str">
        <f>'Scope 1'!B44</f>
        <v>Electric Vehicle (Average Sized Car)</v>
      </c>
      <c r="E57" s="133">
        <f>IF('Scope 1'!G44="Enter Consumption Figure",0,'Scope 1'!G44)</f>
        <v>0</v>
      </c>
      <c r="F57" s="36">
        <f t="shared" si="4"/>
        <v>0</v>
      </c>
      <c r="G57" s="32">
        <f t="shared" si="2"/>
        <v>0</v>
      </c>
    </row>
    <row r="58" spans="2:7" x14ac:dyDescent="0.3">
      <c r="B58" s="180"/>
      <c r="C58" s="175"/>
      <c r="D58" s="145" t="str">
        <f>'Scope 1'!B45</f>
        <v>Average Medium Car (Unknown Fuel)</v>
      </c>
      <c r="E58" s="133">
        <f>IF('Scope 1'!G45="Enter Consumption Figure",0,'Scope 1'!G45)</f>
        <v>0</v>
      </c>
      <c r="F58" s="36">
        <f t="shared" si="4"/>
        <v>0</v>
      </c>
      <c r="G58" s="32">
        <f t="shared" si="2"/>
        <v>0</v>
      </c>
    </row>
    <row r="59" spans="2:7" x14ac:dyDescent="0.3">
      <c r="B59" s="180"/>
      <c r="C59" s="175"/>
      <c r="D59" s="145" t="e">
        <f>'Scope 1'!#REF!</f>
        <v>#REF!</v>
      </c>
      <c r="E59" s="133" t="e">
        <f>IF('Scope 1'!#REF!="Enter Consumption Figure",0,'Scope 1'!#REF!)</f>
        <v>#REF!</v>
      </c>
      <c r="F59" s="36">
        <f t="shared" si="4"/>
        <v>0</v>
      </c>
      <c r="G59" s="32">
        <f t="shared" si="2"/>
        <v>0</v>
      </c>
    </row>
    <row r="60" spans="2:7" x14ac:dyDescent="0.3">
      <c r="B60" s="180"/>
      <c r="C60" s="175"/>
      <c r="D60" s="145" t="e">
        <f>'Scope 1'!#REF!</f>
        <v>#REF!</v>
      </c>
      <c r="E60" s="133" t="e">
        <f>IF('Scope 1'!#REF!="Enter Consumption Figure",0,'Scope 1'!#REF!)</f>
        <v>#REF!</v>
      </c>
      <c r="F60" s="36">
        <f t="shared" si="4"/>
        <v>0</v>
      </c>
      <c r="G60" s="32">
        <f t="shared" si="2"/>
        <v>0</v>
      </c>
    </row>
    <row r="61" spans="2:7" x14ac:dyDescent="0.3">
      <c r="B61" s="180"/>
      <c r="C61" s="175"/>
      <c r="D61" s="145" t="e">
        <f>'Scope 1'!#REF!</f>
        <v>#REF!</v>
      </c>
      <c r="E61" s="133" t="e">
        <f>IF('Scope 1'!#REF!="Enter Consumption Figure",0,'Scope 1'!#REF!)</f>
        <v>#REF!</v>
      </c>
      <c r="F61" s="36">
        <f t="shared" si="4"/>
        <v>0</v>
      </c>
      <c r="G61" s="32">
        <f t="shared" si="2"/>
        <v>0</v>
      </c>
    </row>
    <row r="62" spans="2:7" x14ac:dyDescent="0.3">
      <c r="B62" s="180"/>
      <c r="C62" s="175"/>
      <c r="D62" s="145" t="e">
        <f>'Scope 1'!#REF!</f>
        <v>#REF!</v>
      </c>
      <c r="E62" s="133" t="e">
        <f>IF('Scope 1'!#REF!="Enter Consumption Figure",0,'Scope 1'!#REF!)</f>
        <v>#REF!</v>
      </c>
      <c r="F62" s="36">
        <f t="shared" si="4"/>
        <v>0</v>
      </c>
      <c r="G62" s="32">
        <f t="shared" si="2"/>
        <v>0</v>
      </c>
    </row>
    <row r="63" spans="2:7" x14ac:dyDescent="0.3">
      <c r="B63" s="180"/>
      <c r="C63" s="175"/>
      <c r="D63" s="145" t="e">
        <f>'Scope 1'!#REF!</f>
        <v>#REF!</v>
      </c>
      <c r="E63" s="133" t="e">
        <f>IF('Scope 1'!#REF!="Enter Consumption Figure",0,'Scope 1'!#REF!)</f>
        <v>#REF!</v>
      </c>
      <c r="F63" s="36">
        <f t="shared" si="4"/>
        <v>0</v>
      </c>
      <c r="G63" s="32">
        <f t="shared" si="2"/>
        <v>0</v>
      </c>
    </row>
    <row r="64" spans="2:7" x14ac:dyDescent="0.3">
      <c r="B64" s="180"/>
      <c r="C64" s="175"/>
      <c r="D64" s="145" t="e">
        <f>'Scope 1'!#REF!</f>
        <v>#REF!</v>
      </c>
      <c r="E64" s="133" t="e">
        <f>IF('Scope 1'!#REF!="Enter Consumption Figure",0,'Scope 1'!#REF!)</f>
        <v>#REF!</v>
      </c>
      <c r="F64" s="36">
        <f t="shared" si="4"/>
        <v>0</v>
      </c>
      <c r="G64" s="32">
        <f t="shared" si="2"/>
        <v>0</v>
      </c>
    </row>
    <row r="65" spans="2:7" x14ac:dyDescent="0.3">
      <c r="B65" s="180"/>
      <c r="C65" s="175"/>
      <c r="D65" s="145" t="e">
        <f>'Scope 1'!#REF!</f>
        <v>#REF!</v>
      </c>
      <c r="E65" s="133" t="e">
        <f>IF('Scope 1'!#REF!="Enter Consumption Figure",0,'Scope 1'!#REF!)</f>
        <v>#REF!</v>
      </c>
      <c r="F65" s="36">
        <f t="shared" si="4"/>
        <v>0</v>
      </c>
      <c r="G65" s="32">
        <f t="shared" si="2"/>
        <v>0</v>
      </c>
    </row>
    <row r="66" spans="2:7" x14ac:dyDescent="0.3">
      <c r="B66" s="180"/>
      <c r="C66" s="175"/>
      <c r="D66" s="145" t="e">
        <f>'Scope 1'!#REF!</f>
        <v>#REF!</v>
      </c>
      <c r="E66" s="133" t="e">
        <f>IF('Scope 1'!#REF!="Enter Consumption Figure",0,'Scope 1'!#REF!)</f>
        <v>#REF!</v>
      </c>
      <c r="F66" s="36">
        <f t="shared" si="4"/>
        <v>0</v>
      </c>
      <c r="G66" s="32">
        <f t="shared" si="2"/>
        <v>0</v>
      </c>
    </row>
    <row r="67" spans="2:7" x14ac:dyDescent="0.3">
      <c r="B67" s="180"/>
      <c r="C67" s="175"/>
      <c r="D67" s="145" t="str">
        <f>'Scope 1'!B46</f>
        <v>Other Vehicles - Diesel</v>
      </c>
      <c r="E67" s="133">
        <f>IF('Scope 1'!G46="Enter Consumption Figure",0,'Scope 1'!G46)</f>
        <v>0</v>
      </c>
      <c r="F67" s="36">
        <f t="shared" si="4"/>
        <v>0</v>
      </c>
      <c r="G67" s="32">
        <f t="shared" si="2"/>
        <v>0</v>
      </c>
    </row>
    <row r="68" spans="2:7" ht="14.5" thickBot="1" x14ac:dyDescent="0.35">
      <c r="B68" s="181"/>
      <c r="C68" s="176"/>
      <c r="D68" s="146" t="str">
        <f>'Scope 1'!B47</f>
        <v>Minibus - Petrol</v>
      </c>
      <c r="E68" s="139">
        <f>IF('Scope 1'!G47="Enter Consumption Figure",0,'Scope 1'!G47)</f>
        <v>0</v>
      </c>
      <c r="F68" s="37">
        <f t="shared" si="4"/>
        <v>0</v>
      </c>
      <c r="G68" s="38">
        <f t="shared" si="2"/>
        <v>0</v>
      </c>
    </row>
    <row r="69" spans="2:7" x14ac:dyDescent="0.3">
      <c r="B69" s="179" t="s">
        <v>44</v>
      </c>
      <c r="C69" s="177" t="str">
        <f>'Scope 2'!$B$15</f>
        <v>Electricity</v>
      </c>
      <c r="D69" s="135" t="str">
        <f>'Scope 2'!B18</f>
        <v xml:space="preserve">Building Use </v>
      </c>
      <c r="E69" s="132">
        <f>IF('Scope 2'!G18="Enter Consumption Figure",0,'Scope 2'!G18)</f>
        <v>7.6680000000000001</v>
      </c>
      <c r="F69" s="34">
        <f t="shared" ref="F69:F82" si="5">IFERROR((E69/$D$14),0)</f>
        <v>1</v>
      </c>
      <c r="G69" s="35">
        <f>IFERROR((E69/D65),0)</f>
        <v>0</v>
      </c>
    </row>
    <row r="70" spans="2:7" ht="14.5" thickBot="1" x14ac:dyDescent="0.35">
      <c r="B70" s="180"/>
      <c r="C70" s="178" t="str">
        <f>'Scope 2'!$B$15</f>
        <v>Electricity</v>
      </c>
      <c r="D70" s="137" t="e">
        <f>'Scope 2'!#REF!</f>
        <v>#REF!</v>
      </c>
      <c r="E70" s="139" t="e">
        <f>IF('Scope 2'!#REF!="Enter Consumption Figure",0,'Scope 2'!#REF!)</f>
        <v>#REF!</v>
      </c>
      <c r="F70" s="37">
        <f t="shared" si="5"/>
        <v>0</v>
      </c>
      <c r="G70" s="38">
        <f>IFERROR((E70/D66),0)</f>
        <v>0</v>
      </c>
    </row>
    <row r="71" spans="2:7" x14ac:dyDescent="0.3">
      <c r="B71" s="180"/>
      <c r="C71" s="185" t="s">
        <v>585</v>
      </c>
      <c r="D71" s="151" t="s">
        <v>577</v>
      </c>
      <c r="E71" s="132">
        <f>IF('Scope 2'!G25="Enter Consumption Figure",0,'Scope 2'!G25)</f>
        <v>0</v>
      </c>
      <c r="F71" s="34">
        <f t="shared" si="5"/>
        <v>0</v>
      </c>
      <c r="G71" s="32">
        <f t="shared" ref="G71:G102" si="6">IFERROR((E71/D$22),0)</f>
        <v>0</v>
      </c>
    </row>
    <row r="72" spans="2:7" x14ac:dyDescent="0.3">
      <c r="B72" s="180"/>
      <c r="C72" s="183"/>
      <c r="D72" s="147" t="s">
        <v>578</v>
      </c>
      <c r="E72" s="133">
        <f>IF('Scope 2'!G26="Enter Consumption Figure",0,'Scope 2'!G26)</f>
        <v>0</v>
      </c>
      <c r="F72" s="36">
        <f t="shared" si="5"/>
        <v>0</v>
      </c>
      <c r="G72" s="32">
        <f t="shared" si="6"/>
        <v>0</v>
      </c>
    </row>
    <row r="73" spans="2:7" x14ac:dyDescent="0.3">
      <c r="B73" s="180"/>
      <c r="C73" s="183"/>
      <c r="D73" s="147" t="s">
        <v>579</v>
      </c>
      <c r="E73" s="133">
        <f>IF('Scope 2'!G27="Enter Consumption Figure",0,'Scope 2'!G27)</f>
        <v>0</v>
      </c>
      <c r="F73" s="36">
        <f t="shared" si="5"/>
        <v>0</v>
      </c>
      <c r="G73" s="32">
        <f t="shared" si="6"/>
        <v>0</v>
      </c>
    </row>
    <row r="74" spans="2:7" x14ac:dyDescent="0.3">
      <c r="B74" s="180"/>
      <c r="C74" s="183"/>
      <c r="D74" s="147" t="s">
        <v>580</v>
      </c>
      <c r="E74" s="133">
        <f>IF('Scope 2'!G28="Enter Consumption Figure",0,'Scope 2'!G28)</f>
        <v>0</v>
      </c>
      <c r="F74" s="36">
        <f t="shared" si="5"/>
        <v>0</v>
      </c>
      <c r="G74" s="32">
        <f t="shared" si="6"/>
        <v>0</v>
      </c>
    </row>
    <row r="75" spans="2:7" x14ac:dyDescent="0.3">
      <c r="B75" s="180"/>
      <c r="C75" s="183"/>
      <c r="D75" s="147" t="s">
        <v>581</v>
      </c>
      <c r="E75" s="133">
        <f>IF('Scope 2'!G29="Enter Consumption Figure",0,'Scope 2'!G29)</f>
        <v>0</v>
      </c>
      <c r="F75" s="36">
        <f t="shared" si="5"/>
        <v>0</v>
      </c>
      <c r="G75" s="32">
        <f t="shared" si="6"/>
        <v>0</v>
      </c>
    </row>
    <row r="76" spans="2:7" x14ac:dyDescent="0.3">
      <c r="B76" s="180"/>
      <c r="C76" s="183"/>
      <c r="D76" s="147" t="s">
        <v>582</v>
      </c>
      <c r="E76" s="133">
        <f>IF('Scope 2'!G30="Enter Consumption Figure",0,'Scope 2'!G30)</f>
        <v>0</v>
      </c>
      <c r="F76" s="36">
        <f t="shared" si="5"/>
        <v>0</v>
      </c>
      <c r="G76" s="32">
        <f t="shared" si="6"/>
        <v>0</v>
      </c>
    </row>
    <row r="77" spans="2:7" x14ac:dyDescent="0.3">
      <c r="B77" s="180"/>
      <c r="C77" s="183"/>
      <c r="D77" s="147" t="s">
        <v>583</v>
      </c>
      <c r="E77" s="133">
        <f>IF('Scope 2'!G31="Enter Consumption Figure",0,'Scope 2'!G31)</f>
        <v>0</v>
      </c>
      <c r="F77" s="36">
        <f t="shared" si="5"/>
        <v>0</v>
      </c>
      <c r="G77" s="32">
        <f t="shared" si="6"/>
        <v>0</v>
      </c>
    </row>
    <row r="78" spans="2:7" ht="14.5" thickBot="1" x14ac:dyDescent="0.35">
      <c r="B78" s="180"/>
      <c r="C78" s="184"/>
      <c r="D78" s="148" t="s">
        <v>584</v>
      </c>
      <c r="E78" s="134">
        <f>IF('Scope 2'!G32="Enter Consumption Figure",0,'Scope 2'!G32)</f>
        <v>0</v>
      </c>
      <c r="F78" s="127">
        <f t="shared" si="5"/>
        <v>0</v>
      </c>
      <c r="G78" s="128">
        <f t="shared" si="6"/>
        <v>0</v>
      </c>
    </row>
    <row r="79" spans="2:7" x14ac:dyDescent="0.3">
      <c r="B79" s="180"/>
      <c r="C79" s="183" t="s">
        <v>586</v>
      </c>
      <c r="D79" s="151" t="s">
        <v>587</v>
      </c>
      <c r="E79" s="132">
        <f>IF('Scope 2'!G37="Enter Consumption Figure",0,'Scope 2'!G37)</f>
        <v>0</v>
      </c>
      <c r="F79" s="140">
        <f t="shared" si="5"/>
        <v>0</v>
      </c>
      <c r="G79" s="35">
        <f t="shared" si="6"/>
        <v>0</v>
      </c>
    </row>
    <row r="80" spans="2:7" x14ac:dyDescent="0.3">
      <c r="B80" s="180"/>
      <c r="C80" s="183"/>
      <c r="D80" s="147" t="s">
        <v>588</v>
      </c>
      <c r="E80" s="133">
        <f>IF('Scope 2'!G38="Enter Consumption Figure",0,'Scope 2'!G38)</f>
        <v>0</v>
      </c>
      <c r="F80" s="141">
        <f t="shared" si="5"/>
        <v>0</v>
      </c>
      <c r="G80" s="32">
        <f t="shared" si="6"/>
        <v>0</v>
      </c>
    </row>
    <row r="81" spans="2:7" x14ac:dyDescent="0.3">
      <c r="B81" s="180"/>
      <c r="C81" s="183"/>
      <c r="D81" s="147" t="s">
        <v>589</v>
      </c>
      <c r="E81" s="133">
        <f>IF('Scope 2'!G39="Enter Consumption Figure",0,'Scope 2'!G39)</f>
        <v>0</v>
      </c>
      <c r="F81" s="141">
        <f t="shared" si="5"/>
        <v>0</v>
      </c>
      <c r="G81" s="32">
        <f t="shared" si="6"/>
        <v>0</v>
      </c>
    </row>
    <row r="82" spans="2:7" ht="14.5" thickBot="1" x14ac:dyDescent="0.35">
      <c r="B82" s="181"/>
      <c r="C82" s="184"/>
      <c r="D82" s="152" t="s">
        <v>590</v>
      </c>
      <c r="E82" s="139">
        <f>IF('Scope 2'!G40="Enter Consumption Figure",0,'Scope 2'!G40)</f>
        <v>0</v>
      </c>
      <c r="F82" s="142">
        <f t="shared" si="5"/>
        <v>0</v>
      </c>
      <c r="G82" s="38">
        <f t="shared" si="6"/>
        <v>0</v>
      </c>
    </row>
    <row r="83" spans="2:7" x14ac:dyDescent="0.3">
      <c r="B83" s="179" t="s">
        <v>41</v>
      </c>
      <c r="C83" s="172" t="str">
        <f>'Scope 3'!B15</f>
        <v>Staff Travel</v>
      </c>
      <c r="D83" s="131" t="str">
        <f>'Scope 3'!B18</f>
        <v>Small Petrol Motorbike (Mopeds/Scooters up to 125cc)</v>
      </c>
      <c r="E83" s="143">
        <f>IF('Scope 3'!G18="Enter Consumption Figure",0,'Scope 3'!G18)</f>
        <v>0</v>
      </c>
      <c r="F83" s="129">
        <f t="shared" ref="F83:F95" si="7">IFERROR((E83/$D$15),0)</f>
        <v>0</v>
      </c>
      <c r="G83" s="40">
        <f t="shared" si="6"/>
        <v>0</v>
      </c>
    </row>
    <row r="84" spans="2:7" x14ac:dyDescent="0.3">
      <c r="B84" s="180"/>
      <c r="C84" s="173"/>
      <c r="D84" s="136" t="str">
        <f>'Scope 3'!B19</f>
        <v>Medium Petrol Motorbike (125-500cc)</v>
      </c>
      <c r="E84" s="133">
        <f>IF('Scope 3'!G19="Enter Consumption Figure",0,'Scope 3'!G19)</f>
        <v>0</v>
      </c>
      <c r="F84" s="36">
        <f t="shared" si="7"/>
        <v>0</v>
      </c>
      <c r="G84" s="32">
        <f t="shared" si="6"/>
        <v>0</v>
      </c>
    </row>
    <row r="85" spans="2:7" x14ac:dyDescent="0.3">
      <c r="B85" s="180"/>
      <c r="C85" s="173"/>
      <c r="D85" s="136" t="str">
        <f>'Scope 3'!B20</f>
        <v>Average Medium Car (unknown fuel)</v>
      </c>
      <c r="E85" s="133">
        <f>IF('Scope 3'!G20="Enter Consumption Figure",0,'Scope 3'!G20)</f>
        <v>0</v>
      </c>
      <c r="F85" s="36">
        <f t="shared" si="7"/>
        <v>0</v>
      </c>
      <c r="G85" s="32">
        <f t="shared" si="6"/>
        <v>0</v>
      </c>
    </row>
    <row r="86" spans="2:7" x14ac:dyDescent="0.3">
      <c r="B86" s="180"/>
      <c r="C86" s="173"/>
      <c r="D86" s="136" t="str">
        <f>'Scope 3'!B21</f>
        <v>Small Petrol Cars  ≤ 1.4 litre</v>
      </c>
      <c r="E86" s="133">
        <f>IF('Scope 3'!G21="Enter Consumption Figure",0,'Scope 3'!G21)</f>
        <v>0</v>
      </c>
      <c r="F86" s="36">
        <f t="shared" si="7"/>
        <v>0</v>
      </c>
      <c r="G86" s="32">
        <f t="shared" si="6"/>
        <v>0</v>
      </c>
    </row>
    <row r="87" spans="2:7" x14ac:dyDescent="0.3">
      <c r="B87" s="180"/>
      <c r="C87" s="173"/>
      <c r="D87" s="136" t="str">
        <f>'Scope 3'!B22</f>
        <v>Medium Petrol Car 1.4 - 2.0 litre</v>
      </c>
      <c r="E87" s="133">
        <f>IF('Scope 3'!G22="Enter Consumption Figure",0,'Scope 3'!G22)</f>
        <v>0</v>
      </c>
      <c r="F87" s="36">
        <f t="shared" si="7"/>
        <v>0</v>
      </c>
      <c r="G87" s="32">
        <f t="shared" si="6"/>
        <v>0</v>
      </c>
    </row>
    <row r="88" spans="2:7" x14ac:dyDescent="0.3">
      <c r="B88" s="180"/>
      <c r="C88" s="173"/>
      <c r="D88" s="136" t="str">
        <f>'Scope 3'!B23</f>
        <v>Large Petrol Car &gt; 2.0 litre</v>
      </c>
      <c r="E88" s="133">
        <f>IF('Scope 3'!G23="Enter Consumption Figure",0,'Scope 3'!G23)</f>
        <v>0</v>
      </c>
      <c r="F88" s="36">
        <f t="shared" si="7"/>
        <v>0</v>
      </c>
      <c r="G88" s="32">
        <f t="shared" si="6"/>
        <v>0</v>
      </c>
    </row>
    <row r="89" spans="2:7" x14ac:dyDescent="0.3">
      <c r="B89" s="180"/>
      <c r="C89" s="173"/>
      <c r="D89" s="136" t="str">
        <f>'Scope 3'!B24</f>
        <v>Small Diesel Car ≤ 1.7 litre</v>
      </c>
      <c r="E89" s="133">
        <f>IF('Scope 3'!G24="Enter Consumption Figure",0,'Scope 3'!G24)</f>
        <v>0</v>
      </c>
      <c r="F89" s="36">
        <f t="shared" si="7"/>
        <v>0</v>
      </c>
      <c r="G89" s="32">
        <f t="shared" si="6"/>
        <v>0</v>
      </c>
    </row>
    <row r="90" spans="2:7" x14ac:dyDescent="0.3">
      <c r="B90" s="180"/>
      <c r="C90" s="173"/>
      <c r="D90" s="136" t="str">
        <f>'Scope 3'!B25</f>
        <v>Medium Diesel Car 1.7 - 2.0 litre</v>
      </c>
      <c r="E90" s="133">
        <f>IF('Scope 3'!G25="Enter Consumption Figure",0,'Scope 3'!G25)</f>
        <v>0</v>
      </c>
      <c r="F90" s="36">
        <f t="shared" si="7"/>
        <v>0</v>
      </c>
      <c r="G90" s="32">
        <f t="shared" si="6"/>
        <v>0</v>
      </c>
    </row>
    <row r="91" spans="2:7" x14ac:dyDescent="0.3">
      <c r="B91" s="180"/>
      <c r="C91" s="173"/>
      <c r="D91" s="136" t="str">
        <f>'Scope 3'!B26</f>
        <v>Large Diesel Car &gt; 2.0 litre</v>
      </c>
      <c r="E91" s="133">
        <f>IF('Scope 3'!G26="Enter Consumption Figure",0,'Scope 3'!G26)</f>
        <v>0</v>
      </c>
      <c r="F91" s="36">
        <f t="shared" si="7"/>
        <v>0</v>
      </c>
      <c r="G91" s="32">
        <f t="shared" si="6"/>
        <v>0</v>
      </c>
    </row>
    <row r="92" spans="2:7" x14ac:dyDescent="0.3">
      <c r="B92" s="180"/>
      <c r="C92" s="173"/>
      <c r="D92" s="136" t="str">
        <f>'Scope 3'!B27</f>
        <v>Small Hybrid Car - Petrol</v>
      </c>
      <c r="E92" s="133">
        <f>IF('Scope 3'!G27="Enter Consumption Figure",0,'Scope 3'!G27)</f>
        <v>0</v>
      </c>
      <c r="F92" s="36">
        <f t="shared" si="7"/>
        <v>0</v>
      </c>
      <c r="G92" s="32">
        <f t="shared" si="6"/>
        <v>0</v>
      </c>
    </row>
    <row r="93" spans="2:7" x14ac:dyDescent="0.3">
      <c r="B93" s="180"/>
      <c r="C93" s="173"/>
      <c r="D93" s="136" t="str">
        <f>'Scope 3'!B28</f>
        <v>Medium Hybrid Car - Petrol</v>
      </c>
      <c r="E93" s="133">
        <f>IF('Scope 3'!G28="Enter Consumption Figure",0,'Scope 3'!G28)</f>
        <v>0</v>
      </c>
      <c r="F93" s="36">
        <f t="shared" si="7"/>
        <v>0</v>
      </c>
      <c r="G93" s="32">
        <f t="shared" si="6"/>
        <v>0</v>
      </c>
    </row>
    <row r="94" spans="2:7" x14ac:dyDescent="0.3">
      <c r="B94" s="180"/>
      <c r="C94" s="173"/>
      <c r="D94" s="136" t="str">
        <f>'Scope 3'!B29</f>
        <v>Large Hybrid Car - Petrol</v>
      </c>
      <c r="E94" s="133">
        <f>IF('Scope 3'!G29="Enter Consumption Figure",0,'Scope 3'!G29)</f>
        <v>0</v>
      </c>
      <c r="F94" s="36">
        <f t="shared" si="7"/>
        <v>0</v>
      </c>
      <c r="G94" s="32">
        <f t="shared" si="6"/>
        <v>0</v>
      </c>
    </row>
    <row r="95" spans="2:7" ht="14.5" thickBot="1" x14ac:dyDescent="0.35">
      <c r="B95" s="180"/>
      <c r="C95" s="182"/>
      <c r="D95" s="137" t="str">
        <f>'Scope 3'!B30</f>
        <v>Electric Vehicle (Average Sized Car)</v>
      </c>
      <c r="E95" s="139">
        <f>IF('Scope 3'!G30="Enter Consumption Figure",0,'Scope 3'!G30)</f>
        <v>0</v>
      </c>
      <c r="F95" s="37">
        <f t="shared" si="7"/>
        <v>0</v>
      </c>
      <c r="G95" s="38">
        <f t="shared" si="6"/>
        <v>0</v>
      </c>
    </row>
    <row r="96" spans="2:7" x14ac:dyDescent="0.3">
      <c r="B96" s="180"/>
      <c r="C96" s="170" t="str">
        <f>'Scope 3'!$B$32</f>
        <v>Water</v>
      </c>
      <c r="D96" s="135" t="str">
        <f>'Scope 3'!B35</f>
        <v>Water Supply</v>
      </c>
      <c r="E96" s="132">
        <f>IF('Scope 3'!G35="Enter Consumption Figure",0,'Scope 3'!G35)</f>
        <v>0</v>
      </c>
      <c r="F96" s="34">
        <f>IFERROR((E96/$D$18),0)</f>
        <v>0</v>
      </c>
      <c r="G96" s="32">
        <f t="shared" si="6"/>
        <v>0</v>
      </c>
    </row>
    <row r="97" spans="2:7" ht="14.5" thickBot="1" x14ac:dyDescent="0.35">
      <c r="B97" s="181"/>
      <c r="C97" s="171" t="str">
        <f>'Scope 3'!$B$32</f>
        <v>Water</v>
      </c>
      <c r="D97" s="153" t="str">
        <f>'Scope 3'!B36</f>
        <v>Water Treatment</v>
      </c>
      <c r="E97" s="134">
        <f>IF('Scope 3'!G36="Enter Consumption Figure",0,'Scope 3'!G36)</f>
        <v>0</v>
      </c>
      <c r="F97" s="127">
        <f>IFERROR((E97/$D$18),0)</f>
        <v>0</v>
      </c>
      <c r="G97" s="128">
        <f t="shared" si="6"/>
        <v>0</v>
      </c>
    </row>
    <row r="98" spans="2:7" x14ac:dyDescent="0.3">
      <c r="B98" s="125"/>
      <c r="C98" s="172" t="str">
        <f>'Scope 3'!B38</f>
        <v>Material Use</v>
      </c>
      <c r="D98" s="135" t="str">
        <f>'Scope 3'!B41</f>
        <v>Food and drink</v>
      </c>
      <c r="E98" s="132">
        <f>IF('Scope 3'!H41="Enter Consumption Figure",0,'Scope 3'!H41)</f>
        <v>0</v>
      </c>
      <c r="F98" s="34">
        <f>IFERROR((E98/$D$19),0)</f>
        <v>0</v>
      </c>
      <c r="G98" s="35">
        <f t="shared" si="6"/>
        <v>0</v>
      </c>
    </row>
    <row r="99" spans="2:7" x14ac:dyDescent="0.3">
      <c r="B99" s="125"/>
      <c r="C99" s="173"/>
      <c r="D99" s="136" t="str">
        <f>'Scope 3'!B42</f>
        <v>Electrical items - IT*</v>
      </c>
      <c r="E99" s="133">
        <f>IF('Scope 3'!H42="Enter Consumption Figure",0,'Scope 3'!H42)</f>
        <v>0</v>
      </c>
      <c r="F99" s="36">
        <f t="shared" ref="F99:F107" si="8">IFERROR((E99/$D$19),0)</f>
        <v>0</v>
      </c>
      <c r="G99" s="32">
        <f t="shared" si="6"/>
        <v>0</v>
      </c>
    </row>
    <row r="100" spans="2:7" x14ac:dyDescent="0.3">
      <c r="B100" s="125"/>
      <c r="C100" s="173"/>
      <c r="D100" s="136" t="str">
        <f>'Scope 3'!B43</f>
        <v>Plastics: average plastics</v>
      </c>
      <c r="E100" s="133">
        <f>IF('Scope 3'!H43="Enter Consumption Figure",0,'Scope 3'!H43)</f>
        <v>0</v>
      </c>
      <c r="F100" s="36">
        <f t="shared" si="8"/>
        <v>0</v>
      </c>
      <c r="G100" s="32">
        <f t="shared" si="6"/>
        <v>0</v>
      </c>
    </row>
    <row r="101" spans="2:7" x14ac:dyDescent="0.3">
      <c r="B101" s="125"/>
      <c r="C101" s="173"/>
      <c r="D101" s="136" t="str">
        <f>'Scope 3'!B44</f>
        <v>Plastics: PS (incl. forming)</v>
      </c>
      <c r="E101" s="133">
        <f>IF('Scope 3'!H44="Enter Consumption Figure",0,'Scope 3'!H44)</f>
        <v>0</v>
      </c>
      <c r="F101" s="36">
        <f t="shared" si="8"/>
        <v>0</v>
      </c>
      <c r="G101" s="32">
        <f t="shared" si="6"/>
        <v>0</v>
      </c>
    </row>
    <row r="102" spans="2:7" x14ac:dyDescent="0.3">
      <c r="B102" s="125"/>
      <c r="C102" s="173"/>
      <c r="D102" s="136" t="str">
        <f>'Scope 3'!B45</f>
        <v>Plastics: PVC (incl. forming)</v>
      </c>
      <c r="E102" s="133">
        <f>IF('Scope 3'!H45="Enter Consumption Figure",0,'Scope 3'!H45)</f>
        <v>0</v>
      </c>
      <c r="F102" s="36">
        <f t="shared" si="8"/>
        <v>0</v>
      </c>
      <c r="G102" s="32">
        <f t="shared" si="6"/>
        <v>0</v>
      </c>
    </row>
    <row r="103" spans="2:7" x14ac:dyDescent="0.3">
      <c r="B103" s="125"/>
      <c r="C103" s="173"/>
      <c r="D103" s="136" t="str">
        <f>'Scope 3'!B46</f>
        <v>Paper and board: paper</v>
      </c>
      <c r="E103" s="133">
        <f>IF('Scope 3'!H46="Enter Consumption Figure",0,'Scope 3'!H46)</f>
        <v>0</v>
      </c>
      <c r="F103" s="36">
        <f t="shared" si="8"/>
        <v>0</v>
      </c>
      <c r="G103" s="32">
        <f t="shared" ref="G103:G120" si="9">IFERROR((E103/D$22),0)</f>
        <v>0</v>
      </c>
    </row>
    <row r="104" spans="2:7" x14ac:dyDescent="0.3">
      <c r="B104" s="125"/>
      <c r="C104" s="173"/>
      <c r="D104" s="136" t="str">
        <f>'Scope 3'!B47</f>
        <v>Other Please Specify</v>
      </c>
      <c r="E104" s="133">
        <f>IF('Scope 3'!H47="Enter Consumption Figure",0,'Scope 3'!H47)</f>
        <v>0</v>
      </c>
      <c r="F104" s="36">
        <f t="shared" si="8"/>
        <v>0</v>
      </c>
      <c r="G104" s="32">
        <f t="shared" si="9"/>
        <v>0</v>
      </c>
    </row>
    <row r="105" spans="2:7" x14ac:dyDescent="0.3">
      <c r="B105" s="125"/>
      <c r="C105" s="173"/>
      <c r="D105" s="136" t="str">
        <f>'Scope 3'!B48</f>
        <v>Other Please Specify</v>
      </c>
      <c r="E105" s="133">
        <f>IF('Scope 3'!H48="Enter Consumption Figure",0,'Scope 3'!H48)</f>
        <v>0</v>
      </c>
      <c r="F105" s="36">
        <f t="shared" si="8"/>
        <v>0</v>
      </c>
      <c r="G105" s="32">
        <f t="shared" si="9"/>
        <v>0</v>
      </c>
    </row>
    <row r="106" spans="2:7" x14ac:dyDescent="0.3">
      <c r="B106" s="125"/>
      <c r="C106" s="173"/>
      <c r="D106" s="136" t="str">
        <f>'Scope 3'!B49</f>
        <v>Other Please Specify</v>
      </c>
      <c r="E106" s="133">
        <f>IF('Scope 3'!H49="Enter Consumption Figure",0,'Scope 3'!H49)</f>
        <v>0</v>
      </c>
      <c r="F106" s="36">
        <f t="shared" si="8"/>
        <v>0</v>
      </c>
      <c r="G106" s="32">
        <f t="shared" si="9"/>
        <v>0</v>
      </c>
    </row>
    <row r="107" spans="2:7" ht="14.5" thickBot="1" x14ac:dyDescent="0.35">
      <c r="B107" s="125"/>
      <c r="C107" s="173"/>
      <c r="D107" s="137" t="str">
        <f>'Scope 3'!B50</f>
        <v>Other Please Specify</v>
      </c>
      <c r="E107" s="134">
        <f>IF('Scope 3'!H50="Enter Consumption Figure",0,'Scope 3'!H50)</f>
        <v>0</v>
      </c>
      <c r="F107" s="127">
        <f t="shared" si="8"/>
        <v>0</v>
      </c>
      <c r="G107" s="128">
        <f t="shared" si="9"/>
        <v>0</v>
      </c>
    </row>
    <row r="108" spans="2:7" ht="18.649999999999999" customHeight="1" x14ac:dyDescent="0.3">
      <c r="B108" s="125"/>
      <c r="C108" s="174" t="str">
        <f>'Scope 3'!B52</f>
        <v xml:space="preserve">Waste generated from own operations </v>
      </c>
      <c r="D108" s="135" t="str">
        <f>'Scope 3'!B55</f>
        <v>Glass</v>
      </c>
      <c r="E108" s="132">
        <f>IF('Scope 3'!H55="Enter Consumption Figure",0,'Scope 3'!H55)</f>
        <v>0</v>
      </c>
      <c r="F108" s="34">
        <f>IFERROR((E108/$D$20),0)</f>
        <v>0</v>
      </c>
      <c r="G108" s="35">
        <f t="shared" si="9"/>
        <v>0</v>
      </c>
    </row>
    <row r="109" spans="2:7" x14ac:dyDescent="0.3">
      <c r="B109" s="125"/>
      <c r="C109" s="175"/>
      <c r="D109" s="136" t="str">
        <f>'Scope 3'!B56</f>
        <v>Organic: food and drink waste</v>
      </c>
      <c r="E109" s="133">
        <f>IF('Scope 3'!H56="Enter Consumption Figure",0,'Scope 3'!H56)</f>
        <v>0</v>
      </c>
      <c r="F109" s="36">
        <f t="shared" ref="F109:F120" si="10">IFERROR((E109/$D$20),0)</f>
        <v>0</v>
      </c>
      <c r="G109" s="32">
        <f t="shared" si="9"/>
        <v>0</v>
      </c>
    </row>
    <row r="110" spans="2:7" x14ac:dyDescent="0.3">
      <c r="B110" s="125"/>
      <c r="C110" s="175"/>
      <c r="D110" s="136" t="str">
        <f>'Scope 3'!B57</f>
        <v>Commercial and industrial waste</v>
      </c>
      <c r="E110" s="133">
        <f>IF('Scope 3'!H57="Enter Consumption Figure",0,'Scope 3'!H57)</f>
        <v>0</v>
      </c>
      <c r="F110" s="36">
        <f t="shared" si="10"/>
        <v>0</v>
      </c>
      <c r="G110" s="32">
        <f t="shared" si="9"/>
        <v>0</v>
      </c>
    </row>
    <row r="111" spans="2:7" x14ac:dyDescent="0.3">
      <c r="B111" s="125"/>
      <c r="C111" s="175"/>
      <c r="D111" s="136" t="str">
        <f>'Scope 3'!B58</f>
        <v>WEEE - mixed</v>
      </c>
      <c r="E111" s="133">
        <f>IF('Scope 3'!H58="Enter Consumption Figure",0,'Scope 3'!H58)</f>
        <v>0</v>
      </c>
      <c r="F111" s="36">
        <f t="shared" si="10"/>
        <v>0</v>
      </c>
      <c r="G111" s="32">
        <f t="shared" si="9"/>
        <v>0</v>
      </c>
    </row>
    <row r="112" spans="2:7" x14ac:dyDescent="0.3">
      <c r="B112" s="125"/>
      <c r="C112" s="175"/>
      <c r="D112" s="136" t="str">
        <f>'Scope 3'!B59</f>
        <v>Metal: mixed cans</v>
      </c>
      <c r="E112" s="133">
        <f>IF('Scope 3'!H59="Enter Consumption Figure",0,'Scope 3'!H59)</f>
        <v>0</v>
      </c>
      <c r="F112" s="36">
        <f t="shared" si="10"/>
        <v>0</v>
      </c>
      <c r="G112" s="32">
        <f t="shared" si="9"/>
        <v>0</v>
      </c>
    </row>
    <row r="113" spans="2:7" x14ac:dyDescent="0.3">
      <c r="B113" s="125"/>
      <c r="C113" s="175"/>
      <c r="D113" s="136" t="str">
        <f>'Scope 3'!B60</f>
        <v>Plastics: average plastics</v>
      </c>
      <c r="E113" s="133">
        <f>IF('Scope 3'!H60="Enter Consumption Figure",0,'Scope 3'!H60)</f>
        <v>0</v>
      </c>
      <c r="F113" s="36">
        <f t="shared" si="10"/>
        <v>0</v>
      </c>
      <c r="G113" s="32">
        <f t="shared" si="9"/>
        <v>0</v>
      </c>
    </row>
    <row r="114" spans="2:7" x14ac:dyDescent="0.3">
      <c r="B114" s="125"/>
      <c r="C114" s="175"/>
      <c r="D114" s="136" t="str">
        <f>'Scope 3'!B61</f>
        <v>Paper and board: mixed</v>
      </c>
      <c r="E114" s="133">
        <f>IF('Scope 3'!H61="Enter Consumption Figure",0,'Scope 3'!H61)</f>
        <v>0</v>
      </c>
      <c r="F114" s="36">
        <f t="shared" si="10"/>
        <v>0</v>
      </c>
      <c r="G114" s="32">
        <f t="shared" si="9"/>
        <v>0</v>
      </c>
    </row>
    <row r="115" spans="2:7" x14ac:dyDescent="0.3">
      <c r="B115" s="125"/>
      <c r="C115" s="175"/>
      <c r="D115" s="136" t="str">
        <f>'Scope 3'!B62</f>
        <v>T&amp;D Losses - EV Mileage Per Vehicle</v>
      </c>
      <c r="E115" s="133">
        <f>IF('Scope 3'!H62="Enter Consumption Figure",0,'Scope 3'!H62)</f>
        <v>0</v>
      </c>
      <c r="F115" s="36">
        <f t="shared" si="10"/>
        <v>0</v>
      </c>
      <c r="G115" s="32">
        <f t="shared" si="9"/>
        <v>0</v>
      </c>
    </row>
    <row r="116" spans="2:7" x14ac:dyDescent="0.3">
      <c r="B116" s="125"/>
      <c r="C116" s="175"/>
      <c r="D116" s="136" t="str">
        <f>'Scope 3'!B63</f>
        <v>T&amp;D Losses - EV Charging</v>
      </c>
      <c r="E116" s="133">
        <f>IF('Scope 3'!H63="Enter Consumption Figure",0,'Scope 3'!H63)</f>
        <v>0</v>
      </c>
      <c r="F116" s="36">
        <f t="shared" si="10"/>
        <v>0</v>
      </c>
      <c r="G116" s="32">
        <f t="shared" si="9"/>
        <v>0</v>
      </c>
    </row>
    <row r="117" spans="2:7" x14ac:dyDescent="0.3">
      <c r="B117" s="125"/>
      <c r="C117" s="175"/>
      <c r="D117" s="136" t="str">
        <f>'Scope 3'!B64</f>
        <v>Other Please Specify</v>
      </c>
      <c r="E117" s="133">
        <f>IF('Scope 3'!H64="Enter Consumption Figure",0,'Scope 3'!H64)</f>
        <v>0</v>
      </c>
      <c r="F117" s="36">
        <f t="shared" si="10"/>
        <v>0</v>
      </c>
      <c r="G117" s="32">
        <f t="shared" si="9"/>
        <v>0</v>
      </c>
    </row>
    <row r="118" spans="2:7" x14ac:dyDescent="0.3">
      <c r="B118" s="125"/>
      <c r="C118" s="175"/>
      <c r="D118" s="136" t="str">
        <f>'Scope 3'!B65</f>
        <v>Other Please Specify</v>
      </c>
      <c r="E118" s="133">
        <f>IF('Scope 3'!H65="Enter Consumption Figure",0,'Scope 3'!H65)</f>
        <v>0</v>
      </c>
      <c r="F118" s="36">
        <f t="shared" si="10"/>
        <v>0</v>
      </c>
      <c r="G118" s="32">
        <f t="shared" si="9"/>
        <v>0</v>
      </c>
    </row>
    <row r="119" spans="2:7" x14ac:dyDescent="0.3">
      <c r="B119" s="125"/>
      <c r="C119" s="175"/>
      <c r="D119" s="136" t="str">
        <f>'Scope 3'!B66</f>
        <v>Other Please Specify</v>
      </c>
      <c r="E119" s="133">
        <f>IF('Scope 3'!H66="Enter Consumption Figure",0,'Scope 3'!H66)</f>
        <v>0</v>
      </c>
      <c r="F119" s="36">
        <f t="shared" si="10"/>
        <v>0</v>
      </c>
      <c r="G119" s="32">
        <f t="shared" si="9"/>
        <v>0</v>
      </c>
    </row>
    <row r="120" spans="2:7" ht="14.5" thickBot="1" x14ac:dyDescent="0.35">
      <c r="B120" s="125"/>
      <c r="C120" s="176"/>
      <c r="D120" s="136" t="str">
        <f>'Scope 3'!B67</f>
        <v>Other Please Specify</v>
      </c>
      <c r="E120" s="139">
        <f>IF('Scope 3'!H67="Enter Consumption Figure",0,'Scope 3'!H67)</f>
        <v>0</v>
      </c>
      <c r="F120" s="37">
        <f t="shared" si="10"/>
        <v>0</v>
      </c>
      <c r="G120" s="38">
        <f t="shared" si="9"/>
        <v>0</v>
      </c>
    </row>
    <row r="122" spans="2:7" x14ac:dyDescent="0.3">
      <c r="B122" s="28" t="s">
        <v>537</v>
      </c>
      <c r="C122" s="29"/>
      <c r="D122" s="29"/>
    </row>
    <row r="123" spans="2:7" ht="14" customHeight="1" x14ac:dyDescent="0.3">
      <c r="B123" s="169" t="s">
        <v>573</v>
      </c>
      <c r="C123" s="169"/>
      <c r="D123" s="169"/>
    </row>
  </sheetData>
  <mergeCells count="17">
    <mergeCell ref="B11:B13"/>
    <mergeCell ref="C34:C41"/>
    <mergeCell ref="B26:B68"/>
    <mergeCell ref="B22:C22"/>
    <mergeCell ref="B15:B21"/>
    <mergeCell ref="C26:C33"/>
    <mergeCell ref="C42:C68"/>
    <mergeCell ref="B123:D123"/>
    <mergeCell ref="C96:C97"/>
    <mergeCell ref="C98:C107"/>
    <mergeCell ref="C108:C120"/>
    <mergeCell ref="C69:C70"/>
    <mergeCell ref="B83:B97"/>
    <mergeCell ref="C83:C95"/>
    <mergeCell ref="C79:C82"/>
    <mergeCell ref="C71:C78"/>
    <mergeCell ref="B69:B82"/>
  </mergeCells>
  <conditionalFormatting sqref="D71:D74">
    <cfRule type="duplicateValues" dxfId="2" priority="3"/>
  </conditionalFormatting>
  <conditionalFormatting sqref="D75:D78">
    <cfRule type="duplicateValues" dxfId="1" priority="2"/>
  </conditionalFormatting>
  <conditionalFormatting sqref="D79:D82">
    <cfRule type="duplicateValues" dxfId="0" priority="1"/>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434F2-6C64-4960-978F-263F5B80E148}">
  <sheetPr>
    <tabColor rgb="FFCFDB00"/>
  </sheetPr>
  <dimension ref="A1:BA420"/>
  <sheetViews>
    <sheetView showGridLines="0" zoomScale="110" zoomScaleNormal="110" workbookViewId="0">
      <selection activeCell="C9" sqref="C9"/>
    </sheetView>
  </sheetViews>
  <sheetFormatPr defaultColWidth="8.83203125" defaultRowHeight="14" x14ac:dyDescent="0.3"/>
  <cols>
    <col min="1" max="16384" width="8.83203125" style="11"/>
  </cols>
  <sheetData>
    <row r="1" spans="1:36" s="10" customFormat="1" x14ac:dyDescent="0.3"/>
    <row r="2" spans="1:36" s="10" customFormat="1" x14ac:dyDescent="0.3"/>
    <row r="3" spans="1:36" s="10" customFormat="1" x14ac:dyDescent="0.3"/>
    <row r="4" spans="1:36" s="10" customFormat="1" x14ac:dyDescent="0.3">
      <c r="F4" s="11"/>
      <c r="G4" s="11"/>
      <c r="H4" s="11"/>
    </row>
    <row r="5" spans="1:36" s="10" customFormat="1" x14ac:dyDescent="0.3">
      <c r="F5" s="11"/>
      <c r="G5" s="11"/>
      <c r="H5" s="11"/>
    </row>
    <row r="6" spans="1:36" x14ac:dyDescent="0.3">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row>
    <row r="7" spans="1:36" x14ac:dyDescent="0.3">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row>
    <row r="8" spans="1:36" x14ac:dyDescent="0.3">
      <c r="A8" s="25"/>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row>
    <row r="9" spans="1:36" x14ac:dyDescent="0.3">
      <c r="A9" s="25"/>
      <c r="B9" s="30" t="s">
        <v>495</v>
      </c>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row>
    <row r="10" spans="1:36" x14ac:dyDescent="0.3">
      <c r="A10" s="25"/>
      <c r="B10" s="30"/>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row>
    <row r="11" spans="1:36" x14ac:dyDescent="0.3">
      <c r="A11" s="25"/>
      <c r="B11" s="30"/>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row>
    <row r="12" spans="1:36" x14ac:dyDescent="0.3">
      <c r="A12" s="25"/>
      <c r="B12" s="30"/>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row>
    <row r="13" spans="1:36" x14ac:dyDescent="0.3">
      <c r="A13" s="25"/>
      <c r="B13" s="30"/>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row>
    <row r="14" spans="1:36" x14ac:dyDescent="0.3">
      <c r="A14" s="25"/>
      <c r="B14" s="30"/>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row>
    <row r="15" spans="1:36" x14ac:dyDescent="0.3">
      <c r="A15" s="25"/>
      <c r="B15" s="30"/>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row>
    <row r="16" spans="1:36" x14ac:dyDescent="0.3">
      <c r="A16" s="25"/>
      <c r="B16" s="30"/>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row>
    <row r="17" spans="1:36" x14ac:dyDescent="0.3">
      <c r="A17" s="25"/>
      <c r="B17" s="30"/>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row>
    <row r="18" spans="1:36" x14ac:dyDescent="0.3">
      <c r="A18" s="25"/>
      <c r="B18" s="30"/>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row>
    <row r="19" spans="1:36" x14ac:dyDescent="0.3">
      <c r="A19" s="25"/>
      <c r="B19" s="30"/>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6" x14ac:dyDescent="0.3">
      <c r="A20" s="25"/>
      <c r="B20" s="30"/>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row>
    <row r="21" spans="1:36" x14ac:dyDescent="0.3">
      <c r="A21" s="25"/>
      <c r="B21" s="30"/>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row>
    <row r="22" spans="1:36" x14ac:dyDescent="0.3">
      <c r="A22" s="25"/>
      <c r="B22" s="30"/>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36" x14ac:dyDescent="0.3">
      <c r="A23" s="25"/>
      <c r="B23" s="30"/>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row>
    <row r="24" spans="1:36" x14ac:dyDescent="0.3">
      <c r="A24" s="25"/>
      <c r="B24" s="30"/>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row>
    <row r="25" spans="1:36" x14ac:dyDescent="0.3">
      <c r="A25" s="25"/>
      <c r="B25" s="30"/>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row>
    <row r="26" spans="1:36" x14ac:dyDescent="0.3">
      <c r="A26" s="25"/>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36" x14ac:dyDescent="0.3">
      <c r="A27" s="25"/>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row>
    <row r="28" spans="1:36" x14ac:dyDescent="0.3">
      <c r="A28" s="25"/>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row>
    <row r="29" spans="1:36" x14ac:dyDescent="0.3">
      <c r="A29" s="25"/>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row>
    <row r="30" spans="1:36" x14ac:dyDescent="0.3">
      <c r="A30" s="25"/>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row>
    <row r="31" spans="1:36" x14ac:dyDescent="0.3">
      <c r="A31" s="25"/>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row>
    <row r="32" spans="1:36" x14ac:dyDescent="0.3">
      <c r="A32" s="25"/>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row>
    <row r="33" spans="1:36" x14ac:dyDescent="0.3">
      <c r="A33" s="25"/>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row>
    <row r="34" spans="1:36" x14ac:dyDescent="0.3">
      <c r="A34" s="25"/>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row>
    <row r="35" spans="1:36" x14ac:dyDescent="0.3">
      <c r="A35" s="25"/>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row>
    <row r="36" spans="1:36" x14ac:dyDescent="0.3">
      <c r="A36" s="25"/>
      <c r="B36" s="30" t="s">
        <v>492</v>
      </c>
      <c r="C36" s="30"/>
      <c r="D36" s="30"/>
      <c r="E36" s="30"/>
      <c r="F36" s="30"/>
      <c r="G36" s="30"/>
      <c r="H36" s="30"/>
      <c r="K36" s="8"/>
      <c r="L36" s="8"/>
      <c r="N36" s="30"/>
      <c r="O36" s="30"/>
      <c r="P36" s="30"/>
      <c r="Q36" s="30"/>
      <c r="R36" s="30"/>
      <c r="S36" s="30"/>
      <c r="V36" s="24"/>
      <c r="W36" s="24"/>
      <c r="AA36" s="30"/>
      <c r="AB36" s="30"/>
      <c r="AC36" s="30"/>
      <c r="AD36" s="30"/>
      <c r="AE36" s="30"/>
      <c r="AF36" s="30"/>
      <c r="AG36" s="24"/>
      <c r="AH36" s="24"/>
      <c r="AI36" s="24"/>
      <c r="AJ36" s="24"/>
    </row>
    <row r="37" spans="1:36" x14ac:dyDescent="0.3">
      <c r="A37" s="25"/>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row>
    <row r="38" spans="1:36" x14ac:dyDescent="0.3">
      <c r="A38" s="25"/>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row>
    <row r="39" spans="1:36" x14ac:dyDescent="0.3">
      <c r="A39" s="25"/>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row>
    <row r="40" spans="1:36" x14ac:dyDescent="0.3">
      <c r="A40" s="25"/>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row>
    <row r="41" spans="1:36" x14ac:dyDescent="0.3">
      <c r="A41" s="25"/>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row>
    <row r="42" spans="1:36" x14ac:dyDescent="0.3">
      <c r="A42" s="25"/>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row>
    <row r="43" spans="1:36" x14ac:dyDescent="0.3">
      <c r="A43" s="25"/>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row>
    <row r="44" spans="1:36" x14ac:dyDescent="0.3">
      <c r="A44" s="25"/>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row>
    <row r="45" spans="1:36" x14ac:dyDescent="0.3">
      <c r="A45" s="25"/>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row>
    <row r="46" spans="1:36" x14ac:dyDescent="0.3">
      <c r="A46" s="25"/>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row>
    <row r="47" spans="1:36" x14ac:dyDescent="0.3">
      <c r="A47" s="25"/>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row>
    <row r="48" spans="1:36" x14ac:dyDescent="0.3">
      <c r="A48" s="25"/>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row>
    <row r="49" spans="1:53" x14ac:dyDescent="0.3">
      <c r="A49" s="25"/>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row>
    <row r="50" spans="1:53" x14ac:dyDescent="0.3">
      <c r="A50" s="25"/>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row>
    <row r="51" spans="1:53" x14ac:dyDescent="0.3">
      <c r="A51" s="25"/>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row>
    <row r="52" spans="1:53" x14ac:dyDescent="0.3">
      <c r="A52" s="25"/>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row>
    <row r="53" spans="1:53" x14ac:dyDescent="0.3">
      <c r="A53" s="25"/>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row>
    <row r="54" spans="1:53" x14ac:dyDescent="0.3">
      <c r="A54" s="25"/>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row>
    <row r="55" spans="1:53" x14ac:dyDescent="0.3">
      <c r="A55" s="25"/>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row>
    <row r="56" spans="1:53" x14ac:dyDescent="0.3">
      <c r="A56" s="25"/>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row>
    <row r="57" spans="1:53" x14ac:dyDescent="0.3">
      <c r="A57" s="25"/>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row>
    <row r="58" spans="1:53" x14ac:dyDescent="0.3">
      <c r="A58" s="25"/>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row>
    <row r="59" spans="1:53" x14ac:dyDescent="0.3">
      <c r="A59" s="25"/>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row>
    <row r="60" spans="1:53" x14ac:dyDescent="0.3">
      <c r="A60" s="25"/>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row>
    <row r="61" spans="1:53" x14ac:dyDescent="0.3">
      <c r="A61" s="25"/>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row>
    <row r="62" spans="1:53" x14ac:dyDescent="0.3">
      <c r="A62" s="25"/>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row>
    <row r="63" spans="1:53" x14ac:dyDescent="0.3">
      <c r="A63" s="25"/>
      <c r="B63" s="30" t="s">
        <v>547</v>
      </c>
      <c r="C63" s="30"/>
      <c r="D63" s="30"/>
      <c r="E63" s="30"/>
      <c r="F63" s="30"/>
      <c r="G63" s="30"/>
      <c r="H63" s="30"/>
      <c r="K63" s="9"/>
      <c r="L63" s="9"/>
      <c r="M63" s="24"/>
      <c r="N63" s="24"/>
      <c r="O63" s="24"/>
      <c r="P63" s="24"/>
      <c r="Q63" s="24"/>
      <c r="R63" s="24"/>
      <c r="S63" s="24"/>
      <c r="T63" s="24"/>
      <c r="U63" s="24"/>
      <c r="V63" s="24"/>
      <c r="W63" s="24"/>
      <c r="X63" s="24"/>
      <c r="Y63" s="24"/>
      <c r="Z63" s="24"/>
      <c r="AA63" s="24"/>
      <c r="AB63" s="24"/>
      <c r="AC63" s="24"/>
      <c r="AD63" s="24"/>
      <c r="AE63" s="24"/>
      <c r="AF63" s="24"/>
      <c r="AG63" s="24"/>
      <c r="AH63" s="24"/>
      <c r="AI63" s="24"/>
      <c r="AJ63" s="24"/>
    </row>
    <row r="64" spans="1:53" x14ac:dyDescent="0.3">
      <c r="A64" s="25"/>
      <c r="B64" s="24"/>
      <c r="C64" s="24"/>
      <c r="D64" s="24"/>
      <c r="E64" s="24"/>
      <c r="F64" s="24"/>
      <c r="G64" s="24"/>
      <c r="H64" s="24"/>
      <c r="I64" s="24"/>
      <c r="J64" s="24"/>
      <c r="K64" s="24"/>
      <c r="L64" s="24"/>
      <c r="N64" s="30"/>
      <c r="O64" s="30"/>
      <c r="P64" s="30"/>
      <c r="Q64" s="30"/>
      <c r="R64" s="30"/>
      <c r="S64" s="30"/>
      <c r="V64" s="24"/>
      <c r="W64" s="24"/>
      <c r="X64" s="24"/>
      <c r="Y64" s="24"/>
      <c r="Z64" s="24"/>
      <c r="AA64" s="24"/>
      <c r="AB64" s="24"/>
      <c r="AC64" s="24"/>
      <c r="AD64" s="24"/>
      <c r="AE64" s="24"/>
      <c r="AF64" s="24"/>
      <c r="AG64" s="24"/>
      <c r="AH64" s="24"/>
      <c r="AI64" s="24"/>
      <c r="AJ64" s="24"/>
      <c r="AS64" s="24"/>
      <c r="AT64" s="24"/>
      <c r="AU64" s="24"/>
      <c r="AV64" s="24"/>
      <c r="AW64" s="24"/>
      <c r="AX64" s="24"/>
      <c r="AY64" s="24"/>
      <c r="AZ64" s="24"/>
      <c r="BA64" s="24"/>
    </row>
    <row r="65" spans="1:53" x14ac:dyDescent="0.3">
      <c r="A65" s="25"/>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O65" s="24"/>
      <c r="AP65" s="24"/>
      <c r="AQ65" s="24"/>
      <c r="AR65" s="24"/>
      <c r="AS65" s="24"/>
      <c r="AT65" s="24"/>
      <c r="AU65" s="24"/>
      <c r="AV65" s="24"/>
      <c r="AW65" s="24"/>
      <c r="AX65" s="24"/>
      <c r="AY65" s="24"/>
      <c r="AZ65" s="24"/>
      <c r="BA65" s="24"/>
    </row>
    <row r="66" spans="1:53" x14ac:dyDescent="0.3">
      <c r="A66" s="25"/>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O66" s="24"/>
      <c r="AP66" s="24"/>
      <c r="AQ66" s="24"/>
      <c r="AR66" s="24"/>
      <c r="AS66" s="24"/>
      <c r="AT66" s="24"/>
      <c r="AU66" s="24"/>
      <c r="AV66" s="24"/>
      <c r="AW66" s="24"/>
      <c r="AX66" s="24"/>
      <c r="AY66" s="24"/>
      <c r="AZ66" s="24"/>
      <c r="BA66" s="24"/>
    </row>
    <row r="67" spans="1:53" x14ac:dyDescent="0.3">
      <c r="A67" s="25"/>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O67" s="24"/>
      <c r="AP67" s="24"/>
      <c r="AQ67" s="24"/>
      <c r="AR67" s="24"/>
      <c r="AS67" s="24"/>
      <c r="AT67" s="24"/>
      <c r="AU67" s="24"/>
      <c r="AV67" s="24"/>
      <c r="AW67" s="24"/>
      <c r="AX67" s="24"/>
      <c r="AY67" s="24"/>
      <c r="AZ67" s="24"/>
      <c r="BA67" s="24"/>
    </row>
    <row r="68" spans="1:53" x14ac:dyDescent="0.3">
      <c r="A68" s="25"/>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O68" s="24"/>
      <c r="AP68" s="24"/>
      <c r="AQ68" s="24"/>
      <c r="AR68" s="24"/>
      <c r="AS68" s="24"/>
      <c r="AT68" s="24"/>
      <c r="AU68" s="24"/>
      <c r="AV68" s="24"/>
      <c r="AW68" s="24"/>
      <c r="AX68" s="24"/>
      <c r="AY68" s="24"/>
      <c r="AZ68" s="24"/>
      <c r="BA68" s="24"/>
    </row>
    <row r="69" spans="1:53" x14ac:dyDescent="0.3">
      <c r="A69" s="25"/>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O69" s="24"/>
      <c r="AP69" s="24"/>
      <c r="AQ69" s="24"/>
      <c r="AR69" s="24"/>
      <c r="AS69" s="24"/>
      <c r="AT69" s="24"/>
      <c r="AU69" s="24"/>
      <c r="AV69" s="24"/>
      <c r="AW69" s="24"/>
      <c r="AX69" s="24"/>
      <c r="AY69" s="24"/>
      <c r="AZ69" s="24"/>
      <c r="BA69" s="24"/>
    </row>
    <row r="70" spans="1:53" x14ac:dyDescent="0.3">
      <c r="A70" s="25"/>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O70" s="24"/>
      <c r="AP70" s="24"/>
      <c r="AQ70" s="24"/>
      <c r="AR70" s="24"/>
      <c r="AS70" s="24"/>
      <c r="AT70" s="24"/>
      <c r="AU70" s="24"/>
      <c r="AV70" s="24"/>
      <c r="AW70" s="24"/>
      <c r="AX70" s="24"/>
      <c r="AY70" s="24"/>
      <c r="AZ70" s="24"/>
      <c r="BA70" s="24"/>
    </row>
    <row r="71" spans="1:53" x14ac:dyDescent="0.3">
      <c r="A71" s="25"/>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O71" s="24"/>
      <c r="AP71" s="24"/>
      <c r="AQ71" s="24"/>
      <c r="AR71" s="24"/>
      <c r="AS71" s="24"/>
      <c r="AT71" s="24"/>
      <c r="AU71" s="24"/>
      <c r="AV71" s="24"/>
      <c r="AW71" s="24"/>
      <c r="AX71" s="24"/>
      <c r="AY71" s="24"/>
      <c r="AZ71" s="24"/>
      <c r="BA71" s="24"/>
    </row>
    <row r="72" spans="1:53" x14ac:dyDescent="0.3">
      <c r="A72" s="25"/>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O72" s="24"/>
      <c r="AP72" s="24"/>
      <c r="AQ72" s="24"/>
      <c r="AR72" s="24"/>
      <c r="AS72" s="24"/>
      <c r="AT72" s="24"/>
      <c r="AU72" s="24"/>
      <c r="AV72" s="24"/>
      <c r="AW72" s="24"/>
      <c r="AX72" s="24"/>
      <c r="AY72" s="24"/>
      <c r="AZ72" s="24"/>
      <c r="BA72" s="24"/>
    </row>
    <row r="73" spans="1:53" x14ac:dyDescent="0.3">
      <c r="A73" s="25"/>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O73" s="24"/>
      <c r="AP73" s="24"/>
      <c r="AQ73" s="24"/>
      <c r="AR73" s="24"/>
      <c r="AS73" s="24"/>
      <c r="AT73" s="24"/>
      <c r="AU73" s="24"/>
      <c r="AV73" s="24"/>
      <c r="AW73" s="24"/>
      <c r="AX73" s="24"/>
      <c r="AY73" s="24"/>
      <c r="AZ73" s="24"/>
      <c r="BA73" s="24"/>
    </row>
    <row r="74" spans="1:53" x14ac:dyDescent="0.3">
      <c r="A74" s="25"/>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T74" s="6"/>
    </row>
    <row r="75" spans="1:53" x14ac:dyDescent="0.3">
      <c r="A75" s="25"/>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O75" s="24"/>
      <c r="AP75" s="24"/>
      <c r="AQ75" s="24"/>
      <c r="AR75" s="24"/>
      <c r="AS75" s="24"/>
      <c r="AT75" s="24"/>
      <c r="AU75" s="24"/>
      <c r="AV75" s="24"/>
      <c r="AW75" s="24"/>
      <c r="AX75" s="24"/>
      <c r="AY75" s="24"/>
      <c r="AZ75" s="24"/>
      <c r="BA75" s="24"/>
    </row>
    <row r="76" spans="1:53" x14ac:dyDescent="0.3">
      <c r="A76" s="25"/>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row>
    <row r="77" spans="1:53" x14ac:dyDescent="0.3">
      <c r="A77" s="25"/>
      <c r="B77" s="24"/>
      <c r="C77" s="24"/>
      <c r="D77" s="24"/>
      <c r="E77" s="24"/>
      <c r="F77" s="24"/>
      <c r="G77" s="24"/>
      <c r="H77" s="24"/>
      <c r="I77" s="24"/>
      <c r="J77" s="24"/>
      <c r="K77" s="24"/>
      <c r="L77" s="24"/>
      <c r="M77" s="24"/>
      <c r="N77" s="24"/>
      <c r="O77" s="24"/>
      <c r="P77" s="24"/>
      <c r="Q77" s="24"/>
      <c r="R77" s="24"/>
      <c r="S77" s="24"/>
      <c r="T77" s="24"/>
      <c r="U77" s="24"/>
      <c r="V77" s="24"/>
      <c r="W77" s="24"/>
      <c r="X77" s="24"/>
      <c r="Y77" s="6"/>
      <c r="Z77" s="24"/>
      <c r="AA77" s="24"/>
      <c r="AB77" s="24"/>
      <c r="AC77" s="24"/>
      <c r="AD77" s="24"/>
      <c r="AE77" s="24"/>
      <c r="AF77" s="24"/>
      <c r="AG77" s="24"/>
      <c r="AH77" s="24"/>
      <c r="AI77" s="24"/>
      <c r="AJ77" s="24"/>
    </row>
    <row r="78" spans="1:53" x14ac:dyDescent="0.3">
      <c r="A78" s="25"/>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row>
    <row r="79" spans="1:53" x14ac:dyDescent="0.3">
      <c r="A79" s="25"/>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row>
    <row r="80" spans="1:53" x14ac:dyDescent="0.3">
      <c r="A80" s="25"/>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row>
    <row r="81" spans="1:36" x14ac:dyDescent="0.3">
      <c r="A81" s="25"/>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row>
    <row r="82" spans="1:36" x14ac:dyDescent="0.3">
      <c r="A82" s="25"/>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row>
    <row r="83" spans="1:36" x14ac:dyDescent="0.3">
      <c r="A83" s="25"/>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row>
    <row r="84" spans="1:36" x14ac:dyDescent="0.3">
      <c r="A84" s="25"/>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row>
    <row r="85" spans="1:36" x14ac:dyDescent="0.3">
      <c r="A85" s="25"/>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row>
    <row r="86" spans="1:36" x14ac:dyDescent="0.3">
      <c r="A86" s="25"/>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row>
    <row r="87" spans="1:36" x14ac:dyDescent="0.3">
      <c r="A87" s="25"/>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row>
    <row r="88" spans="1:36" x14ac:dyDescent="0.3">
      <c r="A88" s="25"/>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row>
    <row r="89" spans="1:36" x14ac:dyDescent="0.3">
      <c r="A89" s="25"/>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row>
    <row r="90" spans="1:36" x14ac:dyDescent="0.3">
      <c r="A90" s="25"/>
      <c r="B90" s="30" t="s">
        <v>493</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row>
    <row r="91" spans="1:36" x14ac:dyDescent="0.3">
      <c r="A91" s="25"/>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row>
    <row r="92" spans="1:36" x14ac:dyDescent="0.3">
      <c r="A92" s="25"/>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row>
    <row r="93" spans="1:36" x14ac:dyDescent="0.3">
      <c r="A93" s="25"/>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row>
    <row r="94" spans="1:36" x14ac:dyDescent="0.3">
      <c r="A94" s="25"/>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row>
    <row r="95" spans="1:36" x14ac:dyDescent="0.3">
      <c r="A95" s="25"/>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row>
    <row r="96" spans="1:36" x14ac:dyDescent="0.3">
      <c r="A96" s="25"/>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row>
    <row r="97" spans="1:36" x14ac:dyDescent="0.3">
      <c r="A97" s="25"/>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row>
    <row r="98" spans="1:36" x14ac:dyDescent="0.3">
      <c r="A98" s="25"/>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row>
    <row r="99" spans="1:36" x14ac:dyDescent="0.3">
      <c r="A99" s="25"/>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row>
    <row r="100" spans="1:36" x14ac:dyDescent="0.3">
      <c r="A100" s="25"/>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row>
    <row r="101" spans="1:36" x14ac:dyDescent="0.3">
      <c r="A101" s="25"/>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row>
    <row r="102" spans="1:36" x14ac:dyDescent="0.3">
      <c r="A102" s="25"/>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row>
    <row r="103" spans="1:36" x14ac:dyDescent="0.3">
      <c r="A103" s="25"/>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row>
    <row r="104" spans="1:36" x14ac:dyDescent="0.3">
      <c r="A104" s="25"/>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row>
    <row r="105" spans="1:36" x14ac:dyDescent="0.3">
      <c r="A105" s="25"/>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row>
    <row r="106" spans="1:36" x14ac:dyDescent="0.3">
      <c r="A106" s="25"/>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row>
    <row r="107" spans="1:36" x14ac:dyDescent="0.3">
      <c r="A107" s="25"/>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row>
    <row r="108" spans="1:36" x14ac:dyDescent="0.3">
      <c r="A108" s="25"/>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row>
    <row r="109" spans="1:36" x14ac:dyDescent="0.3">
      <c r="A109" s="25"/>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row>
    <row r="110" spans="1:36" x14ac:dyDescent="0.3">
      <c r="A110" s="25"/>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row>
    <row r="111" spans="1:36" x14ac:dyDescent="0.3">
      <c r="A111" s="25"/>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row>
    <row r="112" spans="1:36" x14ac:dyDescent="0.3">
      <c r="A112" s="25"/>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row>
    <row r="113" spans="1:36" x14ac:dyDescent="0.3">
      <c r="A113" s="25"/>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row>
    <row r="114" spans="1:36" x14ac:dyDescent="0.3">
      <c r="A114" s="25"/>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row>
    <row r="115" spans="1:36" x14ac:dyDescent="0.3">
      <c r="A115" s="25"/>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row>
    <row r="116" spans="1:36" x14ac:dyDescent="0.3">
      <c r="A116" s="25"/>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row>
    <row r="117" spans="1:36" x14ac:dyDescent="0.3">
      <c r="A117" s="25"/>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row>
    <row r="118" spans="1:36" x14ac:dyDescent="0.3">
      <c r="A118" s="25"/>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row>
    <row r="119" spans="1:36" x14ac:dyDescent="0.3">
      <c r="A119" s="25"/>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row>
    <row r="120" spans="1:36" x14ac:dyDescent="0.3">
      <c r="A120" s="25"/>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row>
    <row r="121" spans="1:36" x14ac:dyDescent="0.3">
      <c r="A121" s="25"/>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row>
    <row r="122" spans="1:36" x14ac:dyDescent="0.3">
      <c r="A122" s="25"/>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row>
    <row r="123" spans="1:36" x14ac:dyDescent="0.3">
      <c r="A123" s="25"/>
      <c r="B123" s="30" t="s">
        <v>494</v>
      </c>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row>
    <row r="124" spans="1:36" x14ac:dyDescent="0.3">
      <c r="A124" s="25"/>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row>
    <row r="125" spans="1:36" x14ac:dyDescent="0.3">
      <c r="A125" s="25"/>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row>
    <row r="126" spans="1:36" x14ac:dyDescent="0.3">
      <c r="A126" s="25"/>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row>
    <row r="127" spans="1:36" x14ac:dyDescent="0.3">
      <c r="A127" s="25"/>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row>
    <row r="128" spans="1:36" x14ac:dyDescent="0.3">
      <c r="A128" s="25"/>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row>
    <row r="129" spans="1:36" x14ac:dyDescent="0.3">
      <c r="A129" s="25"/>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row>
    <row r="130" spans="1:36" x14ac:dyDescent="0.3">
      <c r="A130" s="25"/>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row>
    <row r="131" spans="1:36" x14ac:dyDescent="0.3">
      <c r="A131" s="25"/>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row>
    <row r="132" spans="1:36" x14ac:dyDescent="0.3">
      <c r="A132" s="25"/>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row>
    <row r="133" spans="1:36" x14ac:dyDescent="0.3">
      <c r="A133" s="25"/>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row>
    <row r="134" spans="1:36" x14ac:dyDescent="0.3">
      <c r="A134" s="25"/>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row>
    <row r="135" spans="1:36" x14ac:dyDescent="0.3">
      <c r="A135" s="25"/>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row>
    <row r="136" spans="1:36" x14ac:dyDescent="0.3">
      <c r="A136" s="25"/>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row>
    <row r="137" spans="1:36" x14ac:dyDescent="0.3">
      <c r="A137" s="25"/>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row>
    <row r="138" spans="1:36" x14ac:dyDescent="0.3">
      <c r="A138" s="25"/>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row>
    <row r="139" spans="1:36" x14ac:dyDescent="0.3">
      <c r="A139" s="25"/>
      <c r="B139" s="30"/>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row>
    <row r="140" spans="1:36" x14ac:dyDescent="0.3">
      <c r="A140" s="25"/>
      <c r="B140" s="30"/>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row>
    <row r="141" spans="1:36" x14ac:dyDescent="0.3">
      <c r="A141" s="25"/>
      <c r="B141" s="30"/>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row>
    <row r="142" spans="1:36" x14ac:dyDescent="0.3">
      <c r="A142" s="25"/>
      <c r="B142" s="30"/>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row>
    <row r="143" spans="1:36" x14ac:dyDescent="0.3">
      <c r="A143" s="25"/>
      <c r="B143" s="30"/>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row>
    <row r="144" spans="1:36" x14ac:dyDescent="0.3">
      <c r="A144" s="25"/>
      <c r="B144" s="30"/>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row>
    <row r="145" spans="1:36" x14ac:dyDescent="0.3">
      <c r="A145" s="25"/>
      <c r="B145" s="30"/>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row>
    <row r="146" spans="1:36" x14ac:dyDescent="0.3">
      <c r="A146" s="25"/>
      <c r="B146" s="30"/>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row>
    <row r="147" spans="1:36" x14ac:dyDescent="0.3">
      <c r="A147" s="25"/>
      <c r="B147" s="30"/>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row>
    <row r="148" spans="1:36" x14ac:dyDescent="0.3">
      <c r="A148" s="25"/>
      <c r="B148" s="30"/>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row>
    <row r="149" spans="1:36" x14ac:dyDescent="0.3">
      <c r="A149" s="25"/>
      <c r="B149" s="30"/>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row>
    <row r="150" spans="1:36" x14ac:dyDescent="0.3">
      <c r="A150" s="25"/>
      <c r="B150" s="191" t="s">
        <v>567</v>
      </c>
      <c r="C150" s="191"/>
      <c r="D150" s="191"/>
      <c r="E150" s="191"/>
      <c r="F150" s="191"/>
      <c r="G150" s="191"/>
      <c r="H150" s="191"/>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row>
    <row r="151" spans="1:36" x14ac:dyDescent="0.3">
      <c r="A151" s="25"/>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row>
    <row r="152" spans="1:36" x14ac:dyDescent="0.3">
      <c r="A152" s="25"/>
      <c r="B152" s="30"/>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row>
    <row r="153" spans="1:36" x14ac:dyDescent="0.3">
      <c r="A153" s="25"/>
      <c r="B153" s="30"/>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row>
    <row r="154" spans="1:36" x14ac:dyDescent="0.3">
      <c r="A154" s="25"/>
      <c r="B154" s="30"/>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row>
    <row r="155" spans="1:36" x14ac:dyDescent="0.3">
      <c r="A155" s="25"/>
      <c r="B155" s="30"/>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row>
    <row r="156" spans="1:36" x14ac:dyDescent="0.3">
      <c r="A156" s="25"/>
      <c r="B156" s="30"/>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row>
    <row r="157" spans="1:36" x14ac:dyDescent="0.3">
      <c r="A157" s="25"/>
      <c r="B157" s="30"/>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row>
    <row r="158" spans="1:36" x14ac:dyDescent="0.3">
      <c r="A158" s="25"/>
      <c r="B158" s="30"/>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row>
    <row r="159" spans="1:36" x14ac:dyDescent="0.3">
      <c r="A159" s="25"/>
      <c r="B159" s="30"/>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row>
    <row r="160" spans="1:36" x14ac:dyDescent="0.3">
      <c r="A160" s="25"/>
      <c r="B160" s="30"/>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row>
    <row r="161" spans="1:36" x14ac:dyDescent="0.3">
      <c r="A161" s="25"/>
      <c r="B161" s="30"/>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row>
    <row r="162" spans="1:36" x14ac:dyDescent="0.3">
      <c r="A162" s="25"/>
      <c r="B162" s="30"/>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row>
    <row r="163" spans="1:36" x14ac:dyDescent="0.3">
      <c r="A163" s="25"/>
      <c r="B163" s="30"/>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row>
    <row r="164" spans="1:36" x14ac:dyDescent="0.3">
      <c r="A164" s="25"/>
      <c r="B164" s="30"/>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row>
    <row r="165" spans="1:36" x14ac:dyDescent="0.3">
      <c r="A165" s="25"/>
      <c r="B165" s="30"/>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row>
    <row r="166" spans="1:36" x14ac:dyDescent="0.3">
      <c r="A166" s="25"/>
      <c r="B166" s="30"/>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row>
    <row r="167" spans="1:36" x14ac:dyDescent="0.3">
      <c r="A167" s="25"/>
      <c r="B167" s="30"/>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row>
    <row r="168" spans="1:36" x14ac:dyDescent="0.3">
      <c r="A168" s="25"/>
      <c r="B168" s="30"/>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row>
    <row r="169" spans="1:36" x14ac:dyDescent="0.3">
      <c r="A169" s="25"/>
      <c r="B169" s="30"/>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row>
    <row r="170" spans="1:36" x14ac:dyDescent="0.3">
      <c r="A170" s="25"/>
      <c r="B170" s="30"/>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row>
    <row r="171" spans="1:36" x14ac:dyDescent="0.3">
      <c r="A171" s="25"/>
      <c r="B171" s="30"/>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row>
    <row r="172" spans="1:36" x14ac:dyDescent="0.3">
      <c r="A172" s="25"/>
      <c r="B172" s="30"/>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row>
    <row r="173" spans="1:36" x14ac:dyDescent="0.3">
      <c r="A173" s="25"/>
      <c r="B173" s="30"/>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row>
    <row r="174" spans="1:36" x14ac:dyDescent="0.3">
      <c r="A174" s="25"/>
      <c r="B174" s="30"/>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row>
    <row r="175" spans="1:36" x14ac:dyDescent="0.3">
      <c r="A175" s="25"/>
      <c r="B175" s="30"/>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row>
    <row r="176" spans="1:36" x14ac:dyDescent="0.3">
      <c r="A176" s="25"/>
      <c r="B176" s="30"/>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row>
    <row r="177" spans="1:36" x14ac:dyDescent="0.3">
      <c r="A177" s="25"/>
      <c r="B177" s="30"/>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row>
    <row r="178" spans="1:36" x14ac:dyDescent="0.3">
      <c r="A178" s="25"/>
      <c r="B178" s="30"/>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row>
    <row r="179" spans="1:36" x14ac:dyDescent="0.3">
      <c r="A179" s="25"/>
      <c r="B179" s="30"/>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row>
    <row r="180" spans="1:36" x14ac:dyDescent="0.3">
      <c r="A180" s="25"/>
      <c r="B180" s="191" t="s">
        <v>560</v>
      </c>
      <c r="C180" s="191"/>
      <c r="D180" s="191"/>
      <c r="E180" s="191"/>
      <c r="F180" s="191"/>
      <c r="G180" s="191"/>
      <c r="H180" s="191"/>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row>
    <row r="181" spans="1:36" x14ac:dyDescent="0.3">
      <c r="A181" s="25"/>
      <c r="B181" s="30"/>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row>
    <row r="182" spans="1:36" x14ac:dyDescent="0.3">
      <c r="A182" s="25"/>
      <c r="B182" s="30"/>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row>
    <row r="183" spans="1:36" x14ac:dyDescent="0.3">
      <c r="A183" s="25"/>
      <c r="B183" s="30"/>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row>
    <row r="184" spans="1:36" x14ac:dyDescent="0.3">
      <c r="A184" s="25"/>
      <c r="B184" s="30"/>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row>
    <row r="185" spans="1:36" x14ac:dyDescent="0.3">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row>
    <row r="186" spans="1:36" x14ac:dyDescent="0.3">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row>
    <row r="187" spans="1:36" x14ac:dyDescent="0.3">
      <c r="B187" s="24"/>
      <c r="C187" s="24"/>
      <c r="D187" s="24"/>
      <c r="E187" s="24"/>
      <c r="F187" s="24"/>
      <c r="G187" s="24"/>
      <c r="H187" s="24"/>
      <c r="I187" s="24"/>
      <c r="J187" s="24"/>
      <c r="K187" s="24"/>
      <c r="L187" s="24"/>
    </row>
    <row r="188" spans="1:36" x14ac:dyDescent="0.3">
      <c r="B188" s="24"/>
      <c r="C188" s="24"/>
      <c r="D188" s="24"/>
      <c r="E188" s="24"/>
      <c r="F188" s="24"/>
      <c r="G188" s="24"/>
      <c r="H188" s="24"/>
      <c r="I188" s="24"/>
      <c r="J188" s="24"/>
      <c r="K188" s="24"/>
      <c r="L188" s="24"/>
    </row>
    <row r="189" spans="1:36" x14ac:dyDescent="0.3">
      <c r="B189" s="24"/>
      <c r="C189" s="24"/>
      <c r="D189" s="24"/>
      <c r="E189" s="24"/>
      <c r="F189" s="24"/>
      <c r="G189" s="24"/>
      <c r="H189" s="24"/>
      <c r="I189" s="24"/>
      <c r="J189" s="24"/>
      <c r="K189" s="24"/>
      <c r="L189" s="24"/>
    </row>
    <row r="190" spans="1:36" x14ac:dyDescent="0.3">
      <c r="B190" s="24"/>
      <c r="C190" s="24"/>
      <c r="D190" s="24"/>
      <c r="E190" s="24"/>
      <c r="F190" s="24"/>
      <c r="G190" s="24"/>
      <c r="H190" s="24"/>
      <c r="I190" s="24"/>
      <c r="J190" s="24"/>
      <c r="K190" s="24"/>
      <c r="L190" s="24"/>
    </row>
    <row r="191" spans="1:36" x14ac:dyDescent="0.3">
      <c r="B191" s="24"/>
      <c r="C191" s="24"/>
      <c r="D191" s="24"/>
      <c r="E191" s="24"/>
      <c r="F191" s="24"/>
      <c r="G191" s="24"/>
      <c r="H191" s="24"/>
      <c r="I191" s="24"/>
      <c r="J191" s="24"/>
      <c r="K191" s="24"/>
      <c r="L191" s="24"/>
    </row>
    <row r="192" spans="1:36" x14ac:dyDescent="0.3">
      <c r="B192" s="24"/>
      <c r="C192" s="24"/>
      <c r="D192" s="24"/>
      <c r="E192" s="24"/>
      <c r="F192" s="24"/>
      <c r="G192" s="24"/>
      <c r="H192" s="24"/>
      <c r="I192" s="24"/>
      <c r="J192" s="24"/>
      <c r="K192" s="24"/>
      <c r="L192" s="24"/>
    </row>
    <row r="193" spans="2:12" x14ac:dyDescent="0.3">
      <c r="B193" s="24"/>
      <c r="C193" s="24"/>
      <c r="D193" s="24"/>
      <c r="E193" s="24"/>
      <c r="F193" s="24"/>
      <c r="G193" s="24"/>
      <c r="H193" s="24"/>
      <c r="I193" s="24"/>
      <c r="J193" s="24"/>
      <c r="K193" s="24"/>
      <c r="L193" s="24"/>
    </row>
    <row r="194" spans="2:12" x14ac:dyDescent="0.3">
      <c r="B194" s="24"/>
      <c r="C194" s="24"/>
      <c r="D194" s="24"/>
      <c r="E194" s="24"/>
      <c r="F194" s="24"/>
      <c r="G194" s="24"/>
      <c r="H194" s="24"/>
      <c r="I194" s="24"/>
      <c r="J194" s="24"/>
      <c r="K194" s="24"/>
      <c r="L194" s="24"/>
    </row>
    <row r="195" spans="2:12" x14ac:dyDescent="0.3">
      <c r="B195" s="24"/>
      <c r="C195" s="24"/>
      <c r="D195" s="24"/>
      <c r="E195" s="24"/>
      <c r="F195" s="24"/>
      <c r="G195" s="24"/>
      <c r="H195" s="24"/>
      <c r="I195" s="24"/>
      <c r="J195" s="24"/>
      <c r="K195" s="24"/>
      <c r="L195" s="24"/>
    </row>
    <row r="196" spans="2:12" x14ac:dyDescent="0.3">
      <c r="B196" s="24"/>
      <c r="C196" s="24"/>
      <c r="D196" s="24"/>
      <c r="E196" s="24"/>
      <c r="F196" s="24"/>
      <c r="G196" s="24"/>
      <c r="H196" s="24"/>
      <c r="I196" s="24"/>
      <c r="J196" s="24"/>
      <c r="K196" s="24"/>
      <c r="L196" s="24"/>
    </row>
    <row r="197" spans="2:12" x14ac:dyDescent="0.3">
      <c r="B197" s="24"/>
      <c r="C197" s="24"/>
      <c r="D197" s="24"/>
      <c r="E197" s="24"/>
      <c r="F197" s="24"/>
      <c r="G197" s="24"/>
      <c r="H197" s="24"/>
      <c r="I197" s="24"/>
      <c r="J197" s="24"/>
      <c r="K197" s="24"/>
      <c r="L197" s="24"/>
    </row>
    <row r="198" spans="2:12" x14ac:dyDescent="0.3">
      <c r="B198" s="24"/>
      <c r="C198" s="24"/>
      <c r="D198" s="24"/>
      <c r="E198" s="24"/>
      <c r="F198" s="24"/>
      <c r="G198" s="24"/>
      <c r="H198" s="24"/>
      <c r="I198" s="24"/>
      <c r="J198" s="24"/>
      <c r="K198" s="24"/>
      <c r="L198" s="24"/>
    </row>
    <row r="199" spans="2:12" x14ac:dyDescent="0.3">
      <c r="B199" s="24"/>
      <c r="C199" s="24"/>
      <c r="D199" s="24"/>
      <c r="E199" s="24"/>
      <c r="F199" s="24"/>
      <c r="G199" s="24"/>
      <c r="H199" s="24"/>
      <c r="I199" s="24"/>
      <c r="J199" s="24"/>
      <c r="K199" s="24"/>
      <c r="L199" s="24"/>
    </row>
    <row r="200" spans="2:12" x14ac:dyDescent="0.3">
      <c r="B200" s="24"/>
      <c r="C200" s="24"/>
      <c r="D200" s="24"/>
      <c r="E200" s="24"/>
      <c r="F200" s="24"/>
      <c r="G200" s="24"/>
      <c r="H200" s="24"/>
      <c r="I200" s="24"/>
      <c r="J200" s="24"/>
      <c r="K200" s="24"/>
      <c r="L200" s="24"/>
    </row>
    <row r="201" spans="2:12" x14ac:dyDescent="0.3">
      <c r="B201" s="24"/>
      <c r="C201" s="24"/>
      <c r="D201" s="24"/>
      <c r="E201" s="24"/>
      <c r="F201" s="24"/>
      <c r="G201" s="24"/>
      <c r="H201" s="24"/>
      <c r="I201" s="24"/>
      <c r="J201" s="24"/>
      <c r="K201" s="24"/>
      <c r="L201" s="24"/>
    </row>
    <row r="202" spans="2:12" x14ac:dyDescent="0.3">
      <c r="B202" s="24"/>
      <c r="C202" s="24"/>
      <c r="D202" s="24"/>
      <c r="E202" s="24"/>
      <c r="F202" s="24"/>
      <c r="G202" s="24"/>
      <c r="H202" s="24"/>
      <c r="I202" s="24"/>
      <c r="J202" s="24"/>
      <c r="K202" s="24"/>
      <c r="L202" s="24"/>
    </row>
    <row r="203" spans="2:12" x14ac:dyDescent="0.3">
      <c r="B203" s="24"/>
      <c r="C203" s="24"/>
      <c r="D203" s="24"/>
      <c r="E203" s="24"/>
      <c r="F203" s="24"/>
      <c r="G203" s="24"/>
      <c r="H203" s="24"/>
      <c r="I203" s="24"/>
      <c r="J203" s="24"/>
      <c r="K203" s="24"/>
      <c r="L203" s="24"/>
    </row>
    <row r="204" spans="2:12" x14ac:dyDescent="0.3">
      <c r="B204" s="24"/>
      <c r="C204" s="24"/>
      <c r="D204" s="24"/>
      <c r="E204" s="24"/>
      <c r="F204" s="24"/>
      <c r="G204" s="24"/>
      <c r="H204" s="24"/>
      <c r="I204" s="24"/>
      <c r="J204" s="24"/>
      <c r="K204" s="24"/>
      <c r="L204" s="24"/>
    </row>
    <row r="205" spans="2:12" x14ac:dyDescent="0.3">
      <c r="B205" s="24"/>
      <c r="C205" s="24"/>
      <c r="D205" s="24"/>
      <c r="E205" s="24"/>
      <c r="F205" s="24"/>
      <c r="G205" s="24"/>
      <c r="H205" s="24"/>
      <c r="I205" s="24"/>
      <c r="J205" s="24"/>
      <c r="K205" s="24"/>
      <c r="L205" s="24"/>
    </row>
    <row r="206" spans="2:12" x14ac:dyDescent="0.3">
      <c r="B206" s="24"/>
      <c r="C206" s="24"/>
      <c r="D206" s="24"/>
      <c r="E206" s="24"/>
      <c r="F206" s="24"/>
      <c r="G206" s="24"/>
      <c r="H206" s="24"/>
      <c r="I206" s="24"/>
      <c r="J206" s="24"/>
      <c r="K206" s="24"/>
      <c r="L206" s="24"/>
    </row>
    <row r="207" spans="2:12" x14ac:dyDescent="0.3">
      <c r="B207" s="24"/>
      <c r="C207" s="24"/>
      <c r="D207" s="24"/>
      <c r="E207" s="24"/>
      <c r="F207" s="24"/>
      <c r="G207" s="24"/>
      <c r="H207" s="24"/>
      <c r="I207" s="24"/>
      <c r="J207" s="24"/>
      <c r="K207" s="24"/>
      <c r="L207" s="24"/>
    </row>
    <row r="208" spans="2:12" x14ac:dyDescent="0.3">
      <c r="B208" s="24"/>
      <c r="C208" s="24"/>
      <c r="D208" s="24"/>
      <c r="E208" s="24"/>
      <c r="F208" s="24"/>
      <c r="G208" s="24"/>
      <c r="H208" s="24"/>
      <c r="I208" s="24"/>
      <c r="J208" s="24"/>
      <c r="K208" s="24"/>
      <c r="L208" s="24"/>
    </row>
    <row r="209" spans="2:12" x14ac:dyDescent="0.3">
      <c r="B209" s="24"/>
      <c r="C209" s="24"/>
      <c r="D209" s="24"/>
      <c r="E209" s="24"/>
      <c r="F209" s="24"/>
      <c r="G209" s="24"/>
      <c r="H209" s="24"/>
      <c r="I209" s="24"/>
      <c r="J209" s="24"/>
      <c r="K209" s="24"/>
      <c r="L209" s="24"/>
    </row>
    <row r="210" spans="2:12" x14ac:dyDescent="0.3">
      <c r="B210" s="191" t="s">
        <v>524</v>
      </c>
      <c r="C210" s="191"/>
      <c r="D210" s="191"/>
      <c r="E210" s="191"/>
      <c r="F210" s="191"/>
      <c r="G210" s="191"/>
      <c r="H210" s="191"/>
      <c r="I210" s="24"/>
      <c r="J210" s="24"/>
      <c r="K210" s="24"/>
      <c r="L210" s="24"/>
    </row>
    <row r="211" spans="2:12" x14ac:dyDescent="0.3">
      <c r="B211" s="24"/>
      <c r="C211" s="24"/>
      <c r="D211" s="24"/>
      <c r="E211" s="24"/>
      <c r="F211" s="24"/>
      <c r="G211" s="24"/>
      <c r="H211" s="24"/>
      <c r="I211" s="24"/>
      <c r="J211" s="24"/>
      <c r="K211" s="24"/>
      <c r="L211" s="24"/>
    </row>
    <row r="212" spans="2:12" x14ac:dyDescent="0.3">
      <c r="B212" s="28"/>
      <c r="C212" s="29"/>
      <c r="D212" s="29"/>
      <c r="E212" s="24"/>
      <c r="F212" s="24"/>
      <c r="G212" s="24"/>
      <c r="H212" s="24"/>
      <c r="I212" s="24"/>
      <c r="J212" s="24"/>
      <c r="K212" s="24"/>
      <c r="L212" s="24"/>
    </row>
    <row r="213" spans="2:12" x14ac:dyDescent="0.3">
      <c r="B213" s="169"/>
      <c r="C213" s="169"/>
      <c r="D213" s="169"/>
      <c r="E213" s="24"/>
    </row>
    <row r="240" spans="2:8" x14ac:dyDescent="0.3">
      <c r="B240" s="191" t="s">
        <v>544</v>
      </c>
      <c r="C240" s="191"/>
      <c r="D240" s="191"/>
      <c r="E240" s="191"/>
      <c r="F240" s="191"/>
      <c r="G240" s="191"/>
      <c r="H240" s="191"/>
    </row>
    <row r="261" spans="2:18" x14ac:dyDescent="0.3">
      <c r="P261" s="28"/>
      <c r="Q261" s="29"/>
      <c r="R261" s="29"/>
    </row>
    <row r="262" spans="2:18" x14ac:dyDescent="0.3">
      <c r="P262" s="169"/>
      <c r="Q262" s="169"/>
      <c r="R262" s="169"/>
    </row>
    <row r="270" spans="2:18" x14ac:dyDescent="0.3">
      <c r="B270" s="30" t="s">
        <v>568</v>
      </c>
      <c r="C270" s="30"/>
      <c r="D270" s="30"/>
    </row>
    <row r="271" spans="2:18" x14ac:dyDescent="0.3">
      <c r="B271" s="169"/>
      <c r="C271" s="169"/>
      <c r="D271" s="169"/>
    </row>
    <row r="297" spans="2:4" x14ac:dyDescent="0.3">
      <c r="B297" s="30" t="s">
        <v>569</v>
      </c>
      <c r="C297" s="30"/>
      <c r="D297" s="30"/>
    </row>
    <row r="324" spans="2:2" x14ac:dyDescent="0.3">
      <c r="B324" s="116" t="s">
        <v>570</v>
      </c>
    </row>
    <row r="341" spans="15:15" x14ac:dyDescent="0.3">
      <c r="O341" s="30"/>
    </row>
    <row r="357" spans="2:2" x14ac:dyDescent="0.3">
      <c r="B357" s="116" t="s">
        <v>572</v>
      </c>
    </row>
    <row r="384" spans="2:2" x14ac:dyDescent="0.3">
      <c r="B384" s="116" t="s">
        <v>571</v>
      </c>
    </row>
    <row r="419" spans="2:4" x14ac:dyDescent="0.3">
      <c r="B419" s="28" t="s">
        <v>537</v>
      </c>
      <c r="C419" s="29"/>
      <c r="D419" s="29"/>
    </row>
    <row r="420" spans="2:4" x14ac:dyDescent="0.3">
      <c r="B420" s="169" t="s">
        <v>573</v>
      </c>
      <c r="C420" s="169"/>
      <c r="D420" s="169"/>
    </row>
  </sheetData>
  <mergeCells count="8">
    <mergeCell ref="B271:D271"/>
    <mergeCell ref="B240:H240"/>
    <mergeCell ref="B420:D420"/>
    <mergeCell ref="P262:R262"/>
    <mergeCell ref="B150:H150"/>
    <mergeCell ref="B213:D213"/>
    <mergeCell ref="B180:H180"/>
    <mergeCell ref="B210:H2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88CB-2512-402E-B729-20F3D2AA8DE8}">
  <sheetPr>
    <tabColor rgb="FFCFDB00"/>
  </sheetPr>
  <dimension ref="A1:L2"/>
  <sheetViews>
    <sheetView workbookViewId="0">
      <selection activeCell="E29" sqref="E29"/>
    </sheetView>
  </sheetViews>
  <sheetFormatPr defaultRowHeight="14" x14ac:dyDescent="0.3"/>
  <cols>
    <col min="1" max="1" width="13.83203125" bestFit="1" customWidth="1"/>
    <col min="2" max="2" width="12.5" bestFit="1" customWidth="1"/>
    <col min="3" max="3" width="14.33203125" bestFit="1" customWidth="1"/>
    <col min="4" max="4" width="7.33203125" bestFit="1" customWidth="1"/>
    <col min="5" max="5" width="15.83203125" bestFit="1" customWidth="1"/>
    <col min="6" max="6" width="22" bestFit="1" customWidth="1"/>
    <col min="7" max="7" width="14.1640625" bestFit="1" customWidth="1"/>
    <col min="8" max="8" width="43.83203125" bestFit="1" customWidth="1"/>
    <col min="9" max="9" width="39.58203125" bestFit="1" customWidth="1"/>
    <col min="10" max="10" width="4.83203125" bestFit="1" customWidth="1"/>
    <col min="11" max="11" width="35.83203125" bestFit="1" customWidth="1"/>
    <col min="12" max="12" width="36.5" bestFit="1" customWidth="1"/>
  </cols>
  <sheetData>
    <row r="1" spans="1:12" x14ac:dyDescent="0.3">
      <c r="A1" s="103" t="s">
        <v>556</v>
      </c>
      <c r="B1" s="103" t="s">
        <v>533</v>
      </c>
      <c r="C1" s="103" t="s">
        <v>534</v>
      </c>
      <c r="D1" s="103" t="s">
        <v>53</v>
      </c>
      <c r="E1" s="103" t="s">
        <v>557</v>
      </c>
      <c r="F1" s="103" t="s">
        <v>34</v>
      </c>
      <c r="G1" s="103" t="s">
        <v>35</v>
      </c>
      <c r="H1" s="103" t="s">
        <v>37</v>
      </c>
      <c r="I1" s="103" t="s">
        <v>559</v>
      </c>
      <c r="J1" s="103" t="s">
        <v>36</v>
      </c>
      <c r="K1" s="103" t="s">
        <v>469</v>
      </c>
      <c r="L1" s="103" t="s">
        <v>540</v>
      </c>
    </row>
    <row r="2" spans="1:12" x14ac:dyDescent="0.3">
      <c r="A2" s="104">
        <f>Overview!C21</f>
        <v>0</v>
      </c>
      <c r="B2" s="104">
        <f>Overview!C23</f>
        <v>0</v>
      </c>
      <c r="C2" s="104">
        <f>Overview!C25</f>
        <v>0</v>
      </c>
      <c r="D2" s="104" t="str">
        <f>Overview!C15</f>
        <v>2019-20</v>
      </c>
      <c r="E2" s="104" t="e">
        <f>_xlfn.SINGLE('Scope guidance'!#REF!)</f>
        <v>#REF!</v>
      </c>
      <c r="F2" s="104" t="e">
        <f>IF('Scope guidance'!#REF!="Yes",1,0)</f>
        <v>#REF!</v>
      </c>
      <c r="G2" s="104" t="e">
        <f>IF('Scope guidance'!#REF!="Yes",1,0)</f>
        <v>#REF!</v>
      </c>
      <c r="H2" s="104" t="e">
        <f>IF('Scope guidance'!#REF!="Yes",1,0)</f>
        <v>#REF!</v>
      </c>
      <c r="I2" s="104" t="e">
        <f>IF('Scope guidance'!#REF!="Yes",1,0)</f>
        <v>#REF!</v>
      </c>
      <c r="J2" s="104" t="e">
        <f>IF('Scope guidance'!#REF!="Yes",1,0)</f>
        <v>#REF!</v>
      </c>
      <c r="K2" s="104" t="e">
        <f>IF('Scope guidance'!#REF!="Yes",1,0)</f>
        <v>#REF!</v>
      </c>
      <c r="L2" s="104" t="e">
        <f>IF('Scope guidance'!#REF!="Yes",1,0)</f>
        <v>#REF!</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41261-722E-4C7F-8E5E-51E03A50A1A6}">
  <sheetPr>
    <tabColor rgb="FFCFDB00"/>
  </sheetPr>
  <dimension ref="A1:J57"/>
  <sheetViews>
    <sheetView topLeftCell="D25" zoomScaleNormal="100" workbookViewId="0">
      <selection activeCell="G52" sqref="G52"/>
    </sheetView>
  </sheetViews>
  <sheetFormatPr defaultRowHeight="14" x14ac:dyDescent="0.3"/>
  <cols>
    <col min="1" max="1" width="13.83203125" bestFit="1" customWidth="1"/>
    <col min="2" max="2" width="7.33203125" bestFit="1" customWidth="1"/>
    <col min="3" max="3" width="26.58203125" bestFit="1" customWidth="1"/>
    <col min="4" max="4" width="7.5" bestFit="1" customWidth="1"/>
    <col min="5" max="5" width="29.5" bestFit="1" customWidth="1"/>
    <col min="6" max="6" width="45.58203125" bestFit="1" customWidth="1"/>
    <col min="7" max="7" width="17.1640625" bestFit="1" customWidth="1"/>
    <col min="8" max="8" width="12.08203125" bestFit="1" customWidth="1"/>
    <col min="9" max="9" width="16.58203125" bestFit="1" customWidth="1"/>
    <col min="10" max="10" width="17.58203125" bestFit="1" customWidth="1"/>
  </cols>
  <sheetData>
    <row r="1" spans="1:10" x14ac:dyDescent="0.3">
      <c r="A1" s="103" t="s">
        <v>556</v>
      </c>
      <c r="B1" s="103" t="s">
        <v>53</v>
      </c>
      <c r="C1" s="103" t="s">
        <v>557</v>
      </c>
      <c r="D1" s="103" t="s">
        <v>0</v>
      </c>
      <c r="E1" s="103" t="s">
        <v>450</v>
      </c>
      <c r="F1" s="103" t="s">
        <v>52</v>
      </c>
      <c r="G1" s="103" t="s">
        <v>448</v>
      </c>
      <c r="H1" s="103" t="s">
        <v>54</v>
      </c>
      <c r="I1" s="103" t="s">
        <v>55</v>
      </c>
      <c r="J1" s="103" t="s">
        <v>558</v>
      </c>
    </row>
    <row r="2" spans="1:10" x14ac:dyDescent="0.3">
      <c r="A2" s="104">
        <f>Overview!$C$21</f>
        <v>0</v>
      </c>
      <c r="B2" s="104" t="str">
        <f>Overview!$C$15</f>
        <v>2019-20</v>
      </c>
      <c r="C2" s="104" t="e">
        <f>'Scope guidance'!#REF!</f>
        <v>#REF!</v>
      </c>
      <c r="D2" s="104" t="s">
        <v>43</v>
      </c>
      <c r="E2" s="104" t="s">
        <v>451</v>
      </c>
      <c r="F2" s="104" t="s">
        <v>7</v>
      </c>
      <c r="G2" s="104" t="s">
        <v>24</v>
      </c>
      <c r="H2" s="104">
        <f>'Scope 1'!E17</f>
        <v>0</v>
      </c>
      <c r="I2" s="104">
        <f>'Scope 1'!F17</f>
        <v>0.18385000000000001</v>
      </c>
      <c r="J2" s="104">
        <f>IF('Scope 1'!G17="Enter Consumption Figure",0,'Scope 1'!G17)</f>
        <v>0</v>
      </c>
    </row>
    <row r="3" spans="1:10" x14ac:dyDescent="0.3">
      <c r="A3" s="104">
        <f>Overview!$C$21</f>
        <v>0</v>
      </c>
      <c r="B3" s="104" t="str">
        <f>Overview!$C$15</f>
        <v>2019-20</v>
      </c>
      <c r="C3" s="104" t="e">
        <f>'Scope guidance'!#REF!</f>
        <v>#REF!</v>
      </c>
      <c r="D3" s="104" t="s">
        <v>43</v>
      </c>
      <c r="E3" s="104" t="s">
        <v>451</v>
      </c>
      <c r="F3" s="104" t="s">
        <v>443</v>
      </c>
      <c r="G3" s="104" t="s">
        <v>24</v>
      </c>
      <c r="H3" s="104">
        <f>IF('Scope 1'!C18="Litres",0,'Scope 1'!E18)</f>
        <v>0</v>
      </c>
      <c r="I3" s="104">
        <f>IF('Scope 1'!C18="Litres",0,'Scope 1'!F18)</f>
        <v>0.24675</v>
      </c>
      <c r="J3" s="104">
        <f>IF(OR('Scope 1'!C18="Litres",'Scope 1'!G18="Enter Consumption Figure"),0,'Scope 1'!G18)</f>
        <v>0</v>
      </c>
    </row>
    <row r="4" spans="1:10" x14ac:dyDescent="0.3">
      <c r="A4" s="104">
        <f>Overview!$C$21</f>
        <v>0</v>
      </c>
      <c r="B4" s="104" t="str">
        <f>Overview!$C$15</f>
        <v>2019-20</v>
      </c>
      <c r="C4" s="104" t="e">
        <f>'Scope guidance'!#REF!</f>
        <v>#REF!</v>
      </c>
      <c r="D4" s="104" t="s">
        <v>43</v>
      </c>
      <c r="E4" s="104" t="s">
        <v>451</v>
      </c>
      <c r="F4" s="104" t="s">
        <v>444</v>
      </c>
      <c r="G4" s="104" t="s">
        <v>24</v>
      </c>
      <c r="H4" s="104">
        <f>IF('Scope 1'!C19="Litres",0,'Scope 1'!E19)</f>
        <v>0</v>
      </c>
      <c r="I4" s="104">
        <f>IF('Scope 1'!C19="Litres",0,'Scope 1'!F19)</f>
        <v>0.25675999999999999</v>
      </c>
      <c r="J4" s="104">
        <f>IF(OR('Scope 1'!C19="Litres",'Scope 1'!G19="Enter Consumption Figure"),0,'Scope 1'!G19)</f>
        <v>0</v>
      </c>
    </row>
    <row r="5" spans="1:10" x14ac:dyDescent="0.3">
      <c r="A5" s="104">
        <f>Overview!$C$21</f>
        <v>0</v>
      </c>
      <c r="B5" s="104" t="str">
        <f>Overview!$C$15</f>
        <v>2019-20</v>
      </c>
      <c r="C5" s="104" t="e">
        <f>'Scope guidance'!#REF!</f>
        <v>#REF!</v>
      </c>
      <c r="D5" s="104" t="s">
        <v>43</v>
      </c>
      <c r="E5" s="104" t="s">
        <v>451</v>
      </c>
      <c r="F5" s="104" t="s">
        <v>445</v>
      </c>
      <c r="G5" s="104" t="s">
        <v>24</v>
      </c>
      <c r="H5" s="104">
        <f>'Scope 1'!E20</f>
        <v>0</v>
      </c>
      <c r="I5" s="104">
        <f>'Scope 1'!F20</f>
        <v>1.5630000000000002E-2</v>
      </c>
      <c r="J5" s="104">
        <f>IF('Scope 1'!G20="Enter Consumption Figure",0,'Scope 1'!G20)</f>
        <v>0</v>
      </c>
    </row>
    <row r="6" spans="1:10" x14ac:dyDescent="0.3">
      <c r="A6" s="104">
        <f>Overview!$C$21</f>
        <v>0</v>
      </c>
      <c r="B6" s="104" t="str">
        <f>Overview!$C$15</f>
        <v>2019-20</v>
      </c>
      <c r="C6" s="104" t="e">
        <f>'Scope guidance'!#REF!</f>
        <v>#REF!</v>
      </c>
      <c r="D6" s="104" t="s">
        <v>43</v>
      </c>
      <c r="E6" s="104" t="s">
        <v>451</v>
      </c>
      <c r="F6" s="104" t="s">
        <v>443</v>
      </c>
      <c r="G6" s="104" t="s">
        <v>509</v>
      </c>
      <c r="H6" s="104">
        <f>IF('Scope 1'!C18="kWh (Gross CV)",0,'Scope 1'!E18)</f>
        <v>0</v>
      </c>
      <c r="I6" s="104">
        <f>IF('Scope 1'!C18="kWh (Gross CV)",0,'Scope 1'!F18)</f>
        <v>0</v>
      </c>
      <c r="J6" s="104">
        <f>IF(OR('Scope 1'!C18="kWh (Gross CV)",'Scope 1'!G18="Enter Consumption Figure"),0,'Scope 1'!G18)</f>
        <v>0</v>
      </c>
    </row>
    <row r="7" spans="1:10" x14ac:dyDescent="0.3">
      <c r="A7" s="104">
        <f>Overview!$C$21</f>
        <v>0</v>
      </c>
      <c r="B7" s="104" t="str">
        <f>Overview!$C$15</f>
        <v>2019-20</v>
      </c>
      <c r="C7" s="104" t="e">
        <f>'Scope guidance'!#REF!</f>
        <v>#REF!</v>
      </c>
      <c r="D7" s="104" t="s">
        <v>43</v>
      </c>
      <c r="E7" s="104" t="s">
        <v>451</v>
      </c>
      <c r="F7" s="104" t="s">
        <v>444</v>
      </c>
      <c r="G7" s="104" t="s">
        <v>509</v>
      </c>
      <c r="H7" s="104">
        <f>IF('Scope 1'!C19="kWh (Gross CV)",0,'Scope 1'!E19)</f>
        <v>0</v>
      </c>
      <c r="I7" s="104">
        <f>IF('Scope 1'!C19="kWh (Gross CV)",0,'Scope 1'!F19)</f>
        <v>0</v>
      </c>
      <c r="J7" s="104">
        <f>IF(OR('Scope 1'!C19="kWh (Gross CV)",'Scope 1'!G19="Enter Consumption Figure"),0,'Scope 1'!G19)</f>
        <v>0</v>
      </c>
    </row>
    <row r="8" spans="1:10" x14ac:dyDescent="0.3">
      <c r="A8" s="104">
        <f>Overview!$C$21</f>
        <v>0</v>
      </c>
      <c r="B8" s="104" t="str">
        <f>Overview!$C$15</f>
        <v>2019-20</v>
      </c>
      <c r="C8" s="104" t="e">
        <f>'Scope guidance'!#REF!</f>
        <v>#REF!</v>
      </c>
      <c r="D8" s="104" t="s">
        <v>43</v>
      </c>
      <c r="E8" s="104" t="s">
        <v>496</v>
      </c>
      <c r="F8" s="104" t="s">
        <v>463</v>
      </c>
      <c r="G8" s="104" t="s">
        <v>25</v>
      </c>
      <c r="H8" s="104">
        <f>IF('Scope 1'!C29="Litres",0,'Scope 1'!E29)</f>
        <v>0</v>
      </c>
      <c r="I8" s="104">
        <f>IF('Scope 1'!C29="Litres",0,'Scope 1'!F29)</f>
        <v>0.22868000000000002</v>
      </c>
      <c r="J8" s="104">
        <f>IF(OR('Scope 1'!C29="Litres",'Scope 1'!G29="Enter Consumption Figure"),0,'Scope 1'!G29)</f>
        <v>0</v>
      </c>
    </row>
    <row r="9" spans="1:10" x14ac:dyDescent="0.3">
      <c r="A9" s="104">
        <f>Overview!$C$21</f>
        <v>0</v>
      </c>
      <c r="B9" s="104" t="str">
        <f>Overview!$C$15</f>
        <v>2019-20</v>
      </c>
      <c r="C9" s="104" t="e">
        <f>'Scope guidance'!#REF!</f>
        <v>#REF!</v>
      </c>
      <c r="D9" s="104" t="s">
        <v>43</v>
      </c>
      <c r="E9" s="104" t="s">
        <v>496</v>
      </c>
      <c r="F9" s="104" t="s">
        <v>467</v>
      </c>
      <c r="G9" s="104" t="s">
        <v>25</v>
      </c>
      <c r="H9" s="104">
        <f>IF('Scope 1'!C30="Litres",0,'Scope 1'!E30)</f>
        <v>0</v>
      </c>
      <c r="I9" s="104">
        <f>IF('Scope 1'!C30="Litres",0,'Scope 1'!F30)</f>
        <v>0.27459</v>
      </c>
      <c r="J9" s="104">
        <f>IF(OR('Scope 1'!C30="Litres",'Scope 1'!G30="Enter Consumption Figure"),0,'Scope 1'!G30)</f>
        <v>0</v>
      </c>
    </row>
    <row r="10" spans="1:10" x14ac:dyDescent="0.3">
      <c r="A10" s="104">
        <f>Overview!$C$21</f>
        <v>0</v>
      </c>
      <c r="B10" s="104" t="str">
        <f>Overview!$C$15</f>
        <v>2019-20</v>
      </c>
      <c r="C10" s="104" t="e">
        <f>'Scope guidance'!#REF!</f>
        <v>#REF!</v>
      </c>
      <c r="D10" s="104" t="s">
        <v>43</v>
      </c>
      <c r="E10" s="104" t="s">
        <v>496</v>
      </c>
      <c r="F10" s="104" t="s">
        <v>504</v>
      </c>
      <c r="G10" s="104" t="s">
        <v>25</v>
      </c>
      <c r="H10" s="104">
        <f>IF('Scope 1'!C31="Litres",0,'Scope 1'!E31)</f>
        <v>0</v>
      </c>
      <c r="I10" s="104">
        <f>IF('Scope 1'!C31="Litres",0,'Scope 1'!F31)</f>
        <v>0.33712999999999999</v>
      </c>
      <c r="J10" s="104">
        <f>IF(OR('Scope 1'!C31="Litres",'Scope 1'!G31="Enter Consumption Figure"),0,'Scope 1'!G31)</f>
        <v>0</v>
      </c>
    </row>
    <row r="11" spans="1:10" x14ac:dyDescent="0.3">
      <c r="A11" s="104">
        <f>Overview!$C$21</f>
        <v>0</v>
      </c>
      <c r="B11" s="104" t="str">
        <f>Overview!$C$15</f>
        <v>2019-20</v>
      </c>
      <c r="C11" s="104" t="e">
        <f>'Scope guidance'!#REF!</f>
        <v>#REF!</v>
      </c>
      <c r="D11" s="104" t="s">
        <v>43</v>
      </c>
      <c r="E11" s="104" t="s">
        <v>496</v>
      </c>
      <c r="F11" s="104" t="s">
        <v>500</v>
      </c>
      <c r="G11" s="104" t="s">
        <v>25</v>
      </c>
      <c r="H11" s="104">
        <f>IF('Scope 1'!C32="Litres",0,'Scope 1'!E32)</f>
        <v>0</v>
      </c>
      <c r="I11" s="104">
        <f>IF('Scope 1'!C32="Litres",0,'Scope 1'!F32)</f>
        <v>0.29132999999999998</v>
      </c>
      <c r="J11" s="104">
        <f>IF(OR('Scope 1'!C32="Litres",'Scope 1'!G32="Enter Consumption Figure"),0,'Scope 1'!G32)</f>
        <v>0</v>
      </c>
    </row>
    <row r="12" spans="1:10" x14ac:dyDescent="0.3">
      <c r="A12" s="104">
        <f>Overview!$C$21</f>
        <v>0</v>
      </c>
      <c r="B12" s="104" t="str">
        <f>Overview!$C$15</f>
        <v>2019-20</v>
      </c>
      <c r="C12" s="104" t="e">
        <f>'Scope guidance'!#REF!</f>
        <v>#REF!</v>
      </c>
      <c r="D12" s="104" t="s">
        <v>43</v>
      </c>
      <c r="E12" s="104" t="s">
        <v>496</v>
      </c>
      <c r="F12" s="104" t="s">
        <v>468</v>
      </c>
      <c r="G12" s="104" t="s">
        <v>25</v>
      </c>
      <c r="H12" s="104">
        <f>IF('Scope 1'!C33="Litres",0,'Scope 1'!E33)</f>
        <v>0</v>
      </c>
      <c r="I12" s="104">
        <f>IF('Scope 1'!C33="Litres",0,'Scope 1'!F33)</f>
        <v>0.24068000000000001</v>
      </c>
      <c r="J12" s="104">
        <f>IF(OR('Scope 1'!C33="Litres",'Scope 1'!G33="Enter Consumption Figure"),0,'Scope 1'!G33)</f>
        <v>0</v>
      </c>
    </row>
    <row r="13" spans="1:10" x14ac:dyDescent="0.3">
      <c r="A13" s="104">
        <f>Overview!$C$21</f>
        <v>0</v>
      </c>
      <c r="B13" s="104" t="str">
        <f>Overview!$C$15</f>
        <v>2019-20</v>
      </c>
      <c r="C13" s="104" t="e">
        <f>'Scope guidance'!#REF!</f>
        <v>#REF!</v>
      </c>
      <c r="D13" s="104" t="s">
        <v>43</v>
      </c>
      <c r="E13" s="104" t="s">
        <v>496</v>
      </c>
      <c r="F13" s="104" t="s">
        <v>12</v>
      </c>
      <c r="G13" s="104" t="s">
        <v>25</v>
      </c>
      <c r="H13" s="104">
        <f>IF('Scope 1'!C34="Litres",0,'Scope 1'!E34)</f>
        <v>0</v>
      </c>
      <c r="I13" s="104">
        <f>IF('Scope 1'!C34="Litres",0,'Scope 1'!F34)</f>
        <v>0.31309999999999999</v>
      </c>
      <c r="J13" s="104">
        <f>IF(OR('Scope 1'!C34="Litres",'Scope 1'!G34="Enter Consumption Figure"),0,'Scope 1'!G34)</f>
        <v>0</v>
      </c>
    </row>
    <row r="14" spans="1:10" x14ac:dyDescent="0.3">
      <c r="A14" s="104">
        <f>Overview!$C$21</f>
        <v>0</v>
      </c>
      <c r="B14" s="104" t="str">
        <f>Overview!$C$15</f>
        <v>2019-20</v>
      </c>
      <c r="C14" s="104" t="e">
        <f>'Scope guidance'!#REF!</f>
        <v>#REF!</v>
      </c>
      <c r="D14" s="104" t="s">
        <v>43</v>
      </c>
      <c r="E14" s="104" t="s">
        <v>496</v>
      </c>
      <c r="F14" s="104" t="s">
        <v>13</v>
      </c>
      <c r="G14" s="104" t="s">
        <v>25</v>
      </c>
      <c r="H14" s="104">
        <f>IF('Scope 1'!C35="Litres",0,'Scope 1'!E35)</f>
        <v>0</v>
      </c>
      <c r="I14" s="104">
        <f>IF('Scope 1'!C35="Litres",0,'Scope 1'!F35)</f>
        <v>0.44702999999999998</v>
      </c>
      <c r="J14" s="104">
        <f>IF(OR('Scope 1'!C35="Litres",'Scope 1'!G35="Enter Consumption Figure"),0,'Scope 1'!G35)</f>
        <v>0</v>
      </c>
    </row>
    <row r="15" spans="1:10" x14ac:dyDescent="0.3">
      <c r="A15" s="104">
        <f>Overview!$C$21</f>
        <v>0</v>
      </c>
      <c r="B15" s="104" t="str">
        <f>Overview!$C$15</f>
        <v>2019-20</v>
      </c>
      <c r="C15" s="104" t="e">
        <f>'Scope guidance'!#REF!</f>
        <v>#REF!</v>
      </c>
      <c r="D15" s="104" t="s">
        <v>43</v>
      </c>
      <c r="E15" s="104" t="s">
        <v>496</v>
      </c>
      <c r="F15" s="104" t="s">
        <v>14</v>
      </c>
      <c r="G15" s="104" t="s">
        <v>25</v>
      </c>
      <c r="H15" s="104">
        <f>IF('Scope 1'!C36="Litres",0,'Scope 1'!E36)</f>
        <v>0</v>
      </c>
      <c r="I15" s="104">
        <f>IF('Scope 1'!C36="Litres",0,'Scope 1'!F36)</f>
        <v>0.32601999999999998</v>
      </c>
      <c r="J15" s="104">
        <f>IF(OR('Scope 1'!C36="Litres",'Scope 1'!G36="Enter Consumption Figure"),0,'Scope 1'!G36)</f>
        <v>0</v>
      </c>
    </row>
    <row r="16" spans="1:10" x14ac:dyDescent="0.3">
      <c r="A16" s="104">
        <f>Overview!$C$21</f>
        <v>0</v>
      </c>
      <c r="B16" s="104" t="str">
        <f>Overview!$C$15</f>
        <v>2019-20</v>
      </c>
      <c r="C16" s="104" t="e">
        <f>'Scope guidance'!#REF!</f>
        <v>#REF!</v>
      </c>
      <c r="D16" s="104" t="s">
        <v>43</v>
      </c>
      <c r="E16" s="104" t="s">
        <v>496</v>
      </c>
      <c r="F16" s="104" t="s">
        <v>501</v>
      </c>
      <c r="G16" s="104" t="s">
        <v>25</v>
      </c>
      <c r="H16" s="104">
        <f>IF('Scope 1'!C37="Litres",0,'Scope 1'!E37)</f>
        <v>0</v>
      </c>
      <c r="I16" s="104">
        <f>IF('Scope 1'!C37="Litres",0,'Scope 1'!F37)</f>
        <v>0.29132999999999998</v>
      </c>
      <c r="J16" s="104">
        <f>IF(OR('Scope 1'!C37="Litres",'Scope 1'!G37="Enter Consumption Figure"),0,'Scope 1'!G37)</f>
        <v>0</v>
      </c>
    </row>
    <row r="17" spans="1:10" x14ac:dyDescent="0.3">
      <c r="A17" s="104">
        <f>Overview!$C$21</f>
        <v>0</v>
      </c>
      <c r="B17" s="104" t="str">
        <f>Overview!$C$15</f>
        <v>2019-20</v>
      </c>
      <c r="C17" s="104" t="e">
        <f>'Scope guidance'!#REF!</f>
        <v>#REF!</v>
      </c>
      <c r="D17" s="104" t="s">
        <v>43</v>
      </c>
      <c r="E17" s="104" t="s">
        <v>496</v>
      </c>
      <c r="F17" s="104" t="s">
        <v>502</v>
      </c>
      <c r="G17" s="104" t="s">
        <v>25</v>
      </c>
      <c r="H17" s="104">
        <f>IF('Scope 1'!C38="Litres",0,'Scope 1'!E38)</f>
        <v>0</v>
      </c>
      <c r="I17" s="104">
        <f>IF('Scope 1'!C38="Litres",0,'Scope 1'!F38)</f>
        <v>0.24736</v>
      </c>
      <c r="J17" s="104">
        <f>IF(OR('Scope 1'!C38="Litres",'Scope 1'!G38="Enter Consumption Figure"),0,'Scope 1'!G38)</f>
        <v>0</v>
      </c>
    </row>
    <row r="18" spans="1:10" x14ac:dyDescent="0.3">
      <c r="A18" s="104">
        <f>Overview!$C$21</f>
        <v>0</v>
      </c>
      <c r="B18" s="104" t="str">
        <f>Overview!$C$15</f>
        <v>2019-20</v>
      </c>
      <c r="C18" s="104" t="e">
        <f>'Scope guidance'!#REF!</f>
        <v>#REF!</v>
      </c>
      <c r="D18" s="104" t="s">
        <v>43</v>
      </c>
      <c r="E18" s="104" t="s">
        <v>496</v>
      </c>
      <c r="F18" s="104" t="s">
        <v>506</v>
      </c>
      <c r="G18" s="104" t="s">
        <v>25</v>
      </c>
      <c r="H18" s="104">
        <f>IF('Scope 1'!C39="Litres",0,'Scope 1'!E39)</f>
        <v>0</v>
      </c>
      <c r="I18" s="104">
        <f>IF('Scope 1'!C39="Litres",0,'Scope 1'!F39)</f>
        <v>0.30945</v>
      </c>
      <c r="J18" s="104">
        <f>IF(OR('Scope 1'!C39="Litres",'Scope 1'!G39="Enter Consumption Figure"),0,'Scope 1'!G39)</f>
        <v>0</v>
      </c>
    </row>
    <row r="19" spans="1:10" x14ac:dyDescent="0.3">
      <c r="A19" s="104">
        <f>Overview!$C$21</f>
        <v>0</v>
      </c>
      <c r="B19" s="104" t="str">
        <f>Overview!$C$15</f>
        <v>2019-20</v>
      </c>
      <c r="C19" s="104" t="e">
        <f>'Scope guidance'!#REF!</f>
        <v>#REF!</v>
      </c>
      <c r="D19" s="104" t="s">
        <v>43</v>
      </c>
      <c r="E19" s="104" t="s">
        <v>496</v>
      </c>
      <c r="F19" s="104" t="s">
        <v>507</v>
      </c>
      <c r="G19" s="104" t="s">
        <v>25</v>
      </c>
      <c r="H19" s="104">
        <f>IF('Scope 1'!C40="Litres",0,'Scope 1'!E40)</f>
        <v>0</v>
      </c>
      <c r="I19" s="104">
        <f>IF('Scope 1'!C40="Litres",0,'Scope 1'!F40)</f>
        <v>0.45535999999999999</v>
      </c>
      <c r="J19" s="104">
        <f>IF(OR('Scope 1'!C40="Litres",'Scope 1'!G40="Enter Consumption Figure"),0,'Scope 1'!G40)</f>
        <v>0</v>
      </c>
    </row>
    <row r="20" spans="1:10" x14ac:dyDescent="0.3">
      <c r="A20" s="104">
        <f>Overview!$C$21</f>
        <v>0</v>
      </c>
      <c r="B20" s="104" t="str">
        <f>Overview!$C$15</f>
        <v>2019-20</v>
      </c>
      <c r="C20" s="104" t="e">
        <f>'Scope guidance'!#REF!</f>
        <v>#REF!</v>
      </c>
      <c r="D20" s="104" t="s">
        <v>43</v>
      </c>
      <c r="E20" s="104" t="s">
        <v>496</v>
      </c>
      <c r="F20" s="104" t="s">
        <v>503</v>
      </c>
      <c r="G20" s="104" t="s">
        <v>25</v>
      </c>
      <c r="H20" s="104">
        <f>IF('Scope 1'!C41="Litres",0,'Scope 1'!E41)</f>
        <v>0</v>
      </c>
      <c r="I20" s="104">
        <f>IF('Scope 1'!C41="Litres",0,'Scope 1'!F41)</f>
        <v>0.16930000000000001</v>
      </c>
      <c r="J20" s="104">
        <f>IF(OR('Scope 1'!C41="Litres",'Scope 1'!G41="Enter Consumption Figure"),0,'Scope 1'!G41)</f>
        <v>0</v>
      </c>
    </row>
    <row r="21" spans="1:10" x14ac:dyDescent="0.3">
      <c r="A21" s="104">
        <f>Overview!$C$21</f>
        <v>0</v>
      </c>
      <c r="B21" s="104" t="str">
        <f>Overview!$C$15</f>
        <v>2019-20</v>
      </c>
      <c r="C21" s="104" t="e">
        <f>'Scope guidance'!#REF!</f>
        <v>#REF!</v>
      </c>
      <c r="D21" s="104" t="s">
        <v>43</v>
      </c>
      <c r="E21" s="104" t="s">
        <v>496</v>
      </c>
      <c r="F21" s="104" t="s">
        <v>527</v>
      </c>
      <c r="G21" s="104" t="s">
        <v>25</v>
      </c>
      <c r="H21" s="104">
        <f>IF('Scope 1'!C42="Litres",0,'Scope 1'!E42)</f>
        <v>0</v>
      </c>
      <c r="I21" s="104">
        <f>IF('Scope 1'!C42="Litres",0,'Scope 1'!F42)</f>
        <v>0.17534</v>
      </c>
      <c r="J21" s="104">
        <f>IF(OR('Scope 1'!C42="Litres",'Scope 1'!G42="Enter Consumption Figure"),0,'Scope 1'!G42)</f>
        <v>0</v>
      </c>
    </row>
    <row r="22" spans="1:10" x14ac:dyDescent="0.3">
      <c r="A22" s="104">
        <f>Overview!$C$21</f>
        <v>0</v>
      </c>
      <c r="B22" s="104" t="str">
        <f>Overview!$C$15</f>
        <v>2019-20</v>
      </c>
      <c r="C22" s="104" t="e">
        <f>'Scope guidance'!#REF!</f>
        <v>#REF!</v>
      </c>
      <c r="D22" s="104" t="s">
        <v>43</v>
      </c>
      <c r="E22" s="104" t="s">
        <v>496</v>
      </c>
      <c r="F22" s="104" t="s">
        <v>528</v>
      </c>
      <c r="G22" s="104" t="s">
        <v>25</v>
      </c>
      <c r="H22" s="104">
        <f>IF('Scope 1'!C43="Litres",0,'Scope 1'!E43)</f>
        <v>0</v>
      </c>
      <c r="I22" s="104">
        <f>IF('Scope 1'!C43="Litres",0,'Scope 1'!F43)</f>
        <v>0.21207000000000001</v>
      </c>
      <c r="J22" s="104">
        <f>IF(OR('Scope 1'!C43="Litres",'Scope 1'!G43="Enter Consumption Figure"),0,'Scope 1'!G43)</f>
        <v>0</v>
      </c>
    </row>
    <row r="23" spans="1:10" x14ac:dyDescent="0.3">
      <c r="A23" s="104">
        <f>Overview!$C$21</f>
        <v>0</v>
      </c>
      <c r="B23" s="104" t="str">
        <f>Overview!$C$15</f>
        <v>2019-20</v>
      </c>
      <c r="C23" s="104" t="e">
        <f>'Scope guidance'!#REF!</f>
        <v>#REF!</v>
      </c>
      <c r="D23" s="104" t="s">
        <v>43</v>
      </c>
      <c r="E23" s="104" t="s">
        <v>496</v>
      </c>
      <c r="F23" s="104" t="s">
        <v>525</v>
      </c>
      <c r="G23" s="104" t="s">
        <v>25</v>
      </c>
      <c r="H23" s="104">
        <f>'Scope 1'!E44</f>
        <v>0</v>
      </c>
      <c r="I23" s="104">
        <f>'Scope 1'!F44</f>
        <v>8.931E-2</v>
      </c>
      <c r="J23" s="104">
        <f>IF('Scope 1'!G44="Enter Consumption Figure",0,'Scope 1'!G44)</f>
        <v>0</v>
      </c>
    </row>
    <row r="24" spans="1:10" x14ac:dyDescent="0.3">
      <c r="A24" s="104">
        <f>Overview!$C$21</f>
        <v>0</v>
      </c>
      <c r="B24" s="104" t="str">
        <f>Overview!$C$15</f>
        <v>2019-20</v>
      </c>
      <c r="C24" s="104" t="e">
        <f>'Scope guidance'!#REF!</f>
        <v>#REF!</v>
      </c>
      <c r="D24" s="104" t="s">
        <v>43</v>
      </c>
      <c r="E24" s="104" t="s">
        <v>496</v>
      </c>
      <c r="F24" s="104" t="s">
        <v>526</v>
      </c>
      <c r="G24" s="104" t="s">
        <v>25</v>
      </c>
      <c r="H24" s="104">
        <f>'Scope 1'!E45</f>
        <v>0</v>
      </c>
      <c r="I24" s="104">
        <f>'Scope 1'!F45</f>
        <v>0.28502</v>
      </c>
      <c r="J24" s="104">
        <f>IF('Scope 1'!G45="Enter Consumption Figure",0,'Scope 1'!G45)</f>
        <v>0</v>
      </c>
    </row>
    <row r="25" spans="1:10" x14ac:dyDescent="0.3">
      <c r="A25" s="104">
        <f>Overview!$C$21</f>
        <v>0</v>
      </c>
      <c r="B25" s="104" t="str">
        <f>Overview!$C$15</f>
        <v>2019-20</v>
      </c>
      <c r="C25" s="104" t="e">
        <f>'Scope guidance'!#REF!</f>
        <v>#REF!</v>
      </c>
      <c r="D25" s="104" t="s">
        <v>43</v>
      </c>
      <c r="E25" s="104" t="s">
        <v>496</v>
      </c>
      <c r="F25" s="104" t="s">
        <v>520</v>
      </c>
      <c r="G25" s="104" t="s">
        <v>509</v>
      </c>
      <c r="H25" s="104">
        <f>'Scope 1'!E46</f>
        <v>0</v>
      </c>
      <c r="I25" s="104">
        <f>'Scope 1'!F46</f>
        <v>2.5941100000000001</v>
      </c>
      <c r="J25" s="104">
        <f>IF('Scope 1'!G46="Enter Consumption Figure",0,'Scope 1'!G46)</f>
        <v>0</v>
      </c>
    </row>
    <row r="26" spans="1:10" x14ac:dyDescent="0.3">
      <c r="A26" s="104">
        <f>Overview!$C$21</f>
        <v>0</v>
      </c>
      <c r="B26" s="104" t="str">
        <f>Overview!$C$15</f>
        <v>2019-20</v>
      </c>
      <c r="C26" s="104" t="e">
        <f>'Scope guidance'!#REF!</f>
        <v>#REF!</v>
      </c>
      <c r="D26" s="104" t="s">
        <v>43</v>
      </c>
      <c r="E26" s="104" t="s">
        <v>496</v>
      </c>
      <c r="F26" s="104" t="s">
        <v>519</v>
      </c>
      <c r="G26" s="104" t="s">
        <v>509</v>
      </c>
      <c r="H26" s="104">
        <f>'Scope 1'!E47</f>
        <v>0</v>
      </c>
      <c r="I26" s="104">
        <f>'Scope 1'!F47</f>
        <v>2.2090399999999999</v>
      </c>
      <c r="J26" s="104">
        <f>IF('Scope 1'!G47="Enter Consumption Figure",0,'Scope 1'!G47)</f>
        <v>0</v>
      </c>
    </row>
    <row r="27" spans="1:10" x14ac:dyDescent="0.3">
      <c r="A27" s="104">
        <f>Overview!$C$21</f>
        <v>0</v>
      </c>
      <c r="B27" s="104" t="str">
        <f>Overview!$C$15</f>
        <v>2019-20</v>
      </c>
      <c r="C27" s="104" t="e">
        <f>'Scope guidance'!#REF!</f>
        <v>#REF!</v>
      </c>
      <c r="D27" s="104" t="s">
        <v>43</v>
      </c>
      <c r="E27" s="104" t="s">
        <v>496</v>
      </c>
      <c r="F27" s="104" t="s">
        <v>463</v>
      </c>
      <c r="G27" s="104" t="s">
        <v>509</v>
      </c>
      <c r="H27" s="104">
        <f>IF('Scope 1'!C29="Miles",0,'Scope 1'!E29)</f>
        <v>0</v>
      </c>
      <c r="I27" s="104">
        <f>IF('Scope 1'!C29="Miles",0,'Scope 1'!F29)</f>
        <v>0</v>
      </c>
      <c r="J27" s="104">
        <f>IF(OR('Scope 1'!C29="Miles",'Scope 1'!G29="Enter Consumption Figure"),0,'Scope 1'!G29)</f>
        <v>0</v>
      </c>
    </row>
    <row r="28" spans="1:10" x14ac:dyDescent="0.3">
      <c r="A28" s="104">
        <f>Overview!$C$21</f>
        <v>0</v>
      </c>
      <c r="B28" s="104" t="str">
        <f>Overview!$C$15</f>
        <v>2019-20</v>
      </c>
      <c r="C28" s="104" t="e">
        <f>'Scope guidance'!#REF!</f>
        <v>#REF!</v>
      </c>
      <c r="D28" s="104" t="s">
        <v>43</v>
      </c>
      <c r="E28" s="104" t="s">
        <v>496</v>
      </c>
      <c r="F28" s="104" t="s">
        <v>467</v>
      </c>
      <c r="G28" s="104" t="s">
        <v>509</v>
      </c>
      <c r="H28" s="104">
        <f>IF('Scope 1'!C30="Miles",0,'Scope 1'!E30)</f>
        <v>0</v>
      </c>
      <c r="I28" s="104">
        <f>IF('Scope 1'!C30="Miles",0,'Scope 1'!F30)</f>
        <v>0</v>
      </c>
      <c r="J28" s="104">
        <f>IF(OR('Scope 1'!C30="Miles",'Scope 1'!G30="Enter Consumption Figure"),0,'Scope 1'!G30)</f>
        <v>0</v>
      </c>
    </row>
    <row r="29" spans="1:10" x14ac:dyDescent="0.3">
      <c r="A29" s="104">
        <f>Overview!$C$21</f>
        <v>0</v>
      </c>
      <c r="B29" s="104" t="str">
        <f>Overview!$C$15</f>
        <v>2019-20</v>
      </c>
      <c r="C29" s="104" t="e">
        <f>'Scope guidance'!#REF!</f>
        <v>#REF!</v>
      </c>
      <c r="D29" s="104" t="s">
        <v>43</v>
      </c>
      <c r="E29" s="104" t="s">
        <v>496</v>
      </c>
      <c r="F29" s="104" t="s">
        <v>504</v>
      </c>
      <c r="G29" s="104" t="s">
        <v>509</v>
      </c>
      <c r="H29" s="104">
        <f>IF('Scope 1'!C31="Miles",0,'Scope 1'!E31)</f>
        <v>0</v>
      </c>
      <c r="I29" s="104">
        <f>IF('Scope 1'!C31="Miles",0,'Scope 1'!F31)</f>
        <v>0</v>
      </c>
      <c r="J29" s="104">
        <f>IF(OR('Scope 1'!C31="Miles",'Scope 1'!G31="Enter Consumption Figure"),0,'Scope 1'!G31)</f>
        <v>0</v>
      </c>
    </row>
    <row r="30" spans="1:10" x14ac:dyDescent="0.3">
      <c r="A30" s="104">
        <f>Overview!$C$21</f>
        <v>0</v>
      </c>
      <c r="B30" s="104" t="str">
        <f>Overview!$C$15</f>
        <v>2019-20</v>
      </c>
      <c r="C30" s="104" t="e">
        <f>'Scope guidance'!#REF!</f>
        <v>#REF!</v>
      </c>
      <c r="D30" s="104" t="s">
        <v>43</v>
      </c>
      <c r="E30" s="104" t="s">
        <v>496</v>
      </c>
      <c r="F30" s="104" t="s">
        <v>500</v>
      </c>
      <c r="G30" s="104" t="s">
        <v>509</v>
      </c>
      <c r="H30" s="104">
        <f>IF('Scope 1'!C32="Miles",0,'Scope 1'!E32)</f>
        <v>0</v>
      </c>
      <c r="I30" s="104">
        <f>IF('Scope 1'!C32="Miles",0,'Scope 1'!F32)</f>
        <v>0</v>
      </c>
      <c r="J30" s="104">
        <f>IF(OR('Scope 1'!C32="Miles",'Scope 1'!G32="Enter Consumption Figure"),0,'Scope 1'!G32)</f>
        <v>0</v>
      </c>
    </row>
    <row r="31" spans="1:10" x14ac:dyDescent="0.3">
      <c r="A31" s="104">
        <f>Overview!$C$21</f>
        <v>0</v>
      </c>
      <c r="B31" s="104" t="str">
        <f>Overview!$C$15</f>
        <v>2019-20</v>
      </c>
      <c r="C31" s="104" t="e">
        <f>'Scope guidance'!#REF!</f>
        <v>#REF!</v>
      </c>
      <c r="D31" s="104" t="s">
        <v>43</v>
      </c>
      <c r="E31" s="104" t="s">
        <v>496</v>
      </c>
      <c r="F31" s="104" t="s">
        <v>468</v>
      </c>
      <c r="G31" s="104" t="s">
        <v>509</v>
      </c>
      <c r="H31" s="104">
        <f>IF('Scope 1'!C33="Miles",0,'Scope 1'!E33)</f>
        <v>0</v>
      </c>
      <c r="I31" s="104">
        <f>IF('Scope 1'!C33="Miles",0,'Scope 1'!F33)</f>
        <v>0</v>
      </c>
      <c r="J31" s="104">
        <f>IF(OR('Scope 1'!C33="Miles",'Scope 1'!G33="Enter Consumption Figure"),0,'Scope 1'!G33)</f>
        <v>0</v>
      </c>
    </row>
    <row r="32" spans="1:10" x14ac:dyDescent="0.3">
      <c r="A32" s="104">
        <f>Overview!$C$21</f>
        <v>0</v>
      </c>
      <c r="B32" s="104" t="str">
        <f>Overview!$C$15</f>
        <v>2019-20</v>
      </c>
      <c r="C32" s="104" t="e">
        <f>'Scope guidance'!#REF!</f>
        <v>#REF!</v>
      </c>
      <c r="D32" s="104" t="s">
        <v>43</v>
      </c>
      <c r="E32" s="104" t="s">
        <v>496</v>
      </c>
      <c r="F32" s="104" t="s">
        <v>12</v>
      </c>
      <c r="G32" s="104" t="s">
        <v>509</v>
      </c>
      <c r="H32" s="104">
        <f>IF('Scope 1'!C34="Miles",0,'Scope 1'!E34)</f>
        <v>0</v>
      </c>
      <c r="I32" s="104">
        <f>IF('Scope 1'!C34="Miles",0,'Scope 1'!F34)</f>
        <v>0</v>
      </c>
      <c r="J32" s="104">
        <f>IF(OR('Scope 1'!C34="Miles",'Scope 1'!G34="Enter Consumption Figure"),0,'Scope 1'!G34)</f>
        <v>0</v>
      </c>
    </row>
    <row r="33" spans="1:10" x14ac:dyDescent="0.3">
      <c r="A33" s="104">
        <f>Overview!$C$21</f>
        <v>0</v>
      </c>
      <c r="B33" s="104" t="str">
        <f>Overview!$C$15</f>
        <v>2019-20</v>
      </c>
      <c r="C33" s="104" t="e">
        <f>'Scope guidance'!#REF!</f>
        <v>#REF!</v>
      </c>
      <c r="D33" s="104" t="s">
        <v>43</v>
      </c>
      <c r="E33" s="104" t="s">
        <v>496</v>
      </c>
      <c r="F33" s="104" t="s">
        <v>13</v>
      </c>
      <c r="G33" s="104" t="s">
        <v>509</v>
      </c>
      <c r="H33" s="104">
        <f>IF('Scope 1'!C35="Miles",0,'Scope 1'!E35)</f>
        <v>0</v>
      </c>
      <c r="I33" s="104">
        <f>IF('Scope 1'!C35="Miles",0,'Scope 1'!F35)</f>
        <v>0</v>
      </c>
      <c r="J33" s="104">
        <f>IF(OR('Scope 1'!C35="Miles",'Scope 1'!G35="Enter Consumption Figure"),0,'Scope 1'!G35)</f>
        <v>0</v>
      </c>
    </row>
    <row r="34" spans="1:10" x14ac:dyDescent="0.3">
      <c r="A34" s="104">
        <f>Overview!$C$21</f>
        <v>0</v>
      </c>
      <c r="B34" s="104" t="str">
        <f>Overview!$C$15</f>
        <v>2019-20</v>
      </c>
      <c r="C34" s="104" t="e">
        <f>'Scope guidance'!#REF!</f>
        <v>#REF!</v>
      </c>
      <c r="D34" s="104" t="s">
        <v>43</v>
      </c>
      <c r="E34" s="104" t="s">
        <v>496</v>
      </c>
      <c r="F34" s="104" t="s">
        <v>14</v>
      </c>
      <c r="G34" s="104" t="s">
        <v>509</v>
      </c>
      <c r="H34" s="104">
        <f>IF('Scope 1'!C36="Miles",0,'Scope 1'!E36)</f>
        <v>0</v>
      </c>
      <c r="I34" s="104">
        <f>IF('Scope 1'!C36="Miles",0,'Scope 1'!F36)</f>
        <v>0</v>
      </c>
      <c r="J34" s="104">
        <f>IF(OR('Scope 1'!C36="Miles",'Scope 1'!G36="Enter Consumption Figure"),0,'Scope 1'!G36)</f>
        <v>0</v>
      </c>
    </row>
    <row r="35" spans="1:10" x14ac:dyDescent="0.3">
      <c r="A35" s="104">
        <f>Overview!$C$21</f>
        <v>0</v>
      </c>
      <c r="B35" s="104" t="str">
        <f>Overview!$C$15</f>
        <v>2019-20</v>
      </c>
      <c r="C35" s="104" t="e">
        <f>'Scope guidance'!#REF!</f>
        <v>#REF!</v>
      </c>
      <c r="D35" s="104" t="s">
        <v>43</v>
      </c>
      <c r="E35" s="104" t="s">
        <v>496</v>
      </c>
      <c r="F35" s="104" t="s">
        <v>501</v>
      </c>
      <c r="G35" s="104" t="s">
        <v>509</v>
      </c>
      <c r="H35" s="104">
        <f>IF('Scope 1'!C37="Miles",0,'Scope 1'!E37)</f>
        <v>0</v>
      </c>
      <c r="I35" s="104">
        <f>IF('Scope 1'!C37="Miles",0,'Scope 1'!F37)</f>
        <v>0</v>
      </c>
      <c r="J35" s="104">
        <f>IF(OR('Scope 1'!C37="Miles",'Scope 1'!G37="Enter Consumption Figure"),0,'Scope 1'!G37)</f>
        <v>0</v>
      </c>
    </row>
    <row r="36" spans="1:10" x14ac:dyDescent="0.3">
      <c r="A36" s="104">
        <f>Overview!$C$21</f>
        <v>0</v>
      </c>
      <c r="B36" s="104" t="str">
        <f>Overview!$C$15</f>
        <v>2019-20</v>
      </c>
      <c r="C36" s="104" t="e">
        <f>'Scope guidance'!#REF!</f>
        <v>#REF!</v>
      </c>
      <c r="D36" s="104" t="s">
        <v>43</v>
      </c>
      <c r="E36" s="104" t="s">
        <v>496</v>
      </c>
      <c r="F36" s="104" t="s">
        <v>502</v>
      </c>
      <c r="G36" s="104" t="s">
        <v>509</v>
      </c>
      <c r="H36" s="104">
        <f>IF('Scope 1'!C38="Miles",0,'Scope 1'!E38)</f>
        <v>0</v>
      </c>
      <c r="I36" s="104">
        <f>IF('Scope 1'!C38="Miles",0,'Scope 1'!F38)</f>
        <v>0</v>
      </c>
      <c r="J36" s="104">
        <f>IF(OR('Scope 1'!C38="Miles",'Scope 1'!G38="Enter Consumption Figure"),0,'Scope 1'!G38)</f>
        <v>0</v>
      </c>
    </row>
    <row r="37" spans="1:10" x14ac:dyDescent="0.3">
      <c r="A37" s="104">
        <f>Overview!$C$21</f>
        <v>0</v>
      </c>
      <c r="B37" s="104" t="str">
        <f>Overview!$C$15</f>
        <v>2019-20</v>
      </c>
      <c r="C37" s="104" t="e">
        <f>'Scope guidance'!#REF!</f>
        <v>#REF!</v>
      </c>
      <c r="D37" s="104" t="s">
        <v>43</v>
      </c>
      <c r="E37" s="104" t="s">
        <v>496</v>
      </c>
      <c r="F37" s="104" t="s">
        <v>506</v>
      </c>
      <c r="G37" s="104" t="s">
        <v>509</v>
      </c>
      <c r="H37" s="104">
        <f>IF('Scope 1'!C39="Miles",0,'Scope 1'!E39)</f>
        <v>0</v>
      </c>
      <c r="I37" s="104">
        <f>IF('Scope 1'!C39="Miles",0,'Scope 1'!F39)</f>
        <v>0</v>
      </c>
      <c r="J37" s="104">
        <f>IF(OR('Scope 1'!C39="Miles",'Scope 1'!G39="Enter Consumption Figure"),0,'Scope 1'!G39)</f>
        <v>0</v>
      </c>
    </row>
    <row r="38" spans="1:10" x14ac:dyDescent="0.3">
      <c r="A38" s="104">
        <f>Overview!$C$21</f>
        <v>0</v>
      </c>
      <c r="B38" s="104" t="str">
        <f>Overview!$C$15</f>
        <v>2019-20</v>
      </c>
      <c r="C38" s="104" t="e">
        <f>'Scope guidance'!#REF!</f>
        <v>#REF!</v>
      </c>
      <c r="D38" s="104" t="s">
        <v>43</v>
      </c>
      <c r="E38" s="104" t="s">
        <v>496</v>
      </c>
      <c r="F38" s="104" t="s">
        <v>507</v>
      </c>
      <c r="G38" s="104" t="s">
        <v>509</v>
      </c>
      <c r="H38" s="104">
        <f>IF('Scope 1'!C40="Miles",0,'Scope 1'!E40)</f>
        <v>0</v>
      </c>
      <c r="I38" s="104">
        <f>IF('Scope 1'!C40="Miles",0,'Scope 1'!F40)</f>
        <v>0</v>
      </c>
      <c r="J38" s="104">
        <f>IF(OR('Scope 1'!C40="Miles",'Scope 1'!G40="Enter Consumption Figure"),0,'Scope 1'!G40)</f>
        <v>0</v>
      </c>
    </row>
    <row r="39" spans="1:10" x14ac:dyDescent="0.3">
      <c r="A39" s="104">
        <f>Overview!$C$21</f>
        <v>0</v>
      </c>
      <c r="B39" s="104" t="str">
        <f>Overview!$C$15</f>
        <v>2019-20</v>
      </c>
      <c r="C39" s="104" t="e">
        <f>'Scope guidance'!#REF!</f>
        <v>#REF!</v>
      </c>
      <c r="D39" s="104" t="s">
        <v>43</v>
      </c>
      <c r="E39" s="104" t="s">
        <v>496</v>
      </c>
      <c r="F39" s="104" t="s">
        <v>503</v>
      </c>
      <c r="G39" s="104" t="s">
        <v>509</v>
      </c>
      <c r="H39" s="104">
        <f>IF('Scope 1'!C41="Miles",0,'Scope 1'!E41)</f>
        <v>0</v>
      </c>
      <c r="I39" s="104">
        <f>IF('Scope 1'!C41="Miles",0,'Scope 1'!F41)</f>
        <v>0</v>
      </c>
      <c r="J39" s="104">
        <f>IF(OR('Scope 1'!C41="Miles",'Scope 1'!G41="Enter Consumption Figure"),0,'Scope 1'!G41)</f>
        <v>0</v>
      </c>
    </row>
    <row r="40" spans="1:10" x14ac:dyDescent="0.3">
      <c r="A40" s="104">
        <f>Overview!$C$21</f>
        <v>0</v>
      </c>
      <c r="B40" s="104" t="str">
        <f>Overview!$C$15</f>
        <v>2019-20</v>
      </c>
      <c r="C40" s="104" t="e">
        <f>'Scope guidance'!#REF!</f>
        <v>#REF!</v>
      </c>
      <c r="D40" s="104" t="s">
        <v>43</v>
      </c>
      <c r="E40" s="104" t="s">
        <v>496</v>
      </c>
      <c r="F40" s="104" t="s">
        <v>527</v>
      </c>
      <c r="G40" s="104" t="s">
        <v>509</v>
      </c>
      <c r="H40" s="104">
        <f>IF('Scope 1'!C42="Miles",0,'Scope 1'!E42)</f>
        <v>0</v>
      </c>
      <c r="I40" s="104">
        <f>IF('Scope 1'!C42="Miles",0,'Scope 1'!F42)</f>
        <v>0</v>
      </c>
      <c r="J40" s="104">
        <f>IF(OR('Scope 1'!C42="Miles",'Scope 1'!G42="Enter Consumption Figure"),0,'Scope 1'!G42)</f>
        <v>0</v>
      </c>
    </row>
    <row r="41" spans="1:10" x14ac:dyDescent="0.3">
      <c r="A41" s="104">
        <f>Overview!$C$21</f>
        <v>0</v>
      </c>
      <c r="B41" s="104" t="str">
        <f>Overview!$C$15</f>
        <v>2019-20</v>
      </c>
      <c r="C41" s="104" t="e">
        <f>'Scope guidance'!#REF!</f>
        <v>#REF!</v>
      </c>
      <c r="D41" s="104" t="s">
        <v>43</v>
      </c>
      <c r="E41" s="104" t="s">
        <v>496</v>
      </c>
      <c r="F41" s="104" t="s">
        <v>528</v>
      </c>
      <c r="G41" s="104" t="s">
        <v>509</v>
      </c>
      <c r="H41" s="104">
        <f>IF('Scope 1'!C43="Miles",0,'Scope 1'!E43)</f>
        <v>0</v>
      </c>
      <c r="I41" s="104">
        <f>IF('Scope 1'!C43="Miles",0,'Scope 1'!F43)</f>
        <v>0</v>
      </c>
      <c r="J41" s="104">
        <f>IF(OR('Scope 1'!C43="Miles",'Scope 1'!G43="Enter Consumption Figure"),0,'Scope 1'!G43)</f>
        <v>0</v>
      </c>
    </row>
    <row r="42" spans="1:10" x14ac:dyDescent="0.3">
      <c r="A42" s="104">
        <f>Overview!$C$21</f>
        <v>0</v>
      </c>
      <c r="B42" s="104" t="str">
        <f>Overview!$C$15</f>
        <v>2019-20</v>
      </c>
      <c r="C42" s="104" t="e">
        <f>'Scope guidance'!#REF!</f>
        <v>#REF!</v>
      </c>
      <c r="D42" s="104" t="s">
        <v>44</v>
      </c>
      <c r="E42" s="104" t="s">
        <v>40</v>
      </c>
      <c r="F42" s="104" t="s">
        <v>446</v>
      </c>
      <c r="G42" s="104" t="s">
        <v>26</v>
      </c>
      <c r="H42" s="104">
        <f>'Scope 2'!E18</f>
        <v>30000</v>
      </c>
      <c r="I42" s="104">
        <f>'Scope 2'!F18</f>
        <v>0.25559999999999999</v>
      </c>
      <c r="J42" s="104">
        <f>IF('Scope 2'!G18="Enter Consumption Figure",0,'Scope 2'!G18)</f>
        <v>7.6680000000000001</v>
      </c>
    </row>
    <row r="43" spans="1:10" x14ac:dyDescent="0.3">
      <c r="A43" s="104">
        <f>Overview!$C$21</f>
        <v>0</v>
      </c>
      <c r="B43" s="104" t="str">
        <f>Overview!$C$15</f>
        <v>2019-20</v>
      </c>
      <c r="C43" s="104" t="e">
        <f>'Scope guidance'!#REF!</f>
        <v>#REF!</v>
      </c>
      <c r="D43" s="104" t="s">
        <v>41</v>
      </c>
      <c r="E43" s="104" t="s">
        <v>523</v>
      </c>
      <c r="F43" s="104" t="s">
        <v>505</v>
      </c>
      <c r="G43" s="104" t="s">
        <v>25</v>
      </c>
      <c r="H43" s="104">
        <f>'Scope 3'!E18</f>
        <v>0</v>
      </c>
      <c r="I43" s="104">
        <f>'Scope 3'!F18</f>
        <v>0.13591</v>
      </c>
      <c r="J43" s="104">
        <f>IF('Scope 3'!G18="Enter Consumption Figure",0,'Scope 3'!G18)</f>
        <v>0</v>
      </c>
    </row>
    <row r="44" spans="1:10" x14ac:dyDescent="0.3">
      <c r="A44" s="104">
        <f>Overview!$C$21</f>
        <v>0</v>
      </c>
      <c r="B44" s="104" t="str">
        <f>Overview!$C$15</f>
        <v>2019-20</v>
      </c>
      <c r="C44" s="104" t="e">
        <f>'Scope guidance'!#REF!</f>
        <v>#REF!</v>
      </c>
      <c r="D44" s="104" t="s">
        <v>41</v>
      </c>
      <c r="E44" s="104" t="s">
        <v>523</v>
      </c>
      <c r="F44" s="104" t="s">
        <v>562</v>
      </c>
      <c r="G44" s="104" t="s">
        <v>25</v>
      </c>
      <c r="H44" s="104">
        <f>'Scope 3'!E19</f>
        <v>0</v>
      </c>
      <c r="I44" s="104">
        <f>'Scope 3'!F19</f>
        <v>0.16559000000000001</v>
      </c>
      <c r="J44" s="104">
        <f>IF('Scope 3'!G19="Enter Consumption Figure",0,'Scope 3'!G19)</f>
        <v>0</v>
      </c>
    </row>
    <row r="45" spans="1:10" x14ac:dyDescent="0.3">
      <c r="A45" s="104">
        <f>Overview!$C$21</f>
        <v>0</v>
      </c>
      <c r="B45" s="104" t="str">
        <f>Overview!$C$15</f>
        <v>2019-20</v>
      </c>
      <c r="C45" s="104" t="e">
        <f>'Scope guidance'!#REF!</f>
        <v>#REF!</v>
      </c>
      <c r="D45" s="104" t="s">
        <v>41</v>
      </c>
      <c r="E45" s="104" t="s">
        <v>523</v>
      </c>
      <c r="F45" s="104" t="s">
        <v>563</v>
      </c>
      <c r="G45" s="104" t="s">
        <v>25</v>
      </c>
      <c r="H45" s="104">
        <f>'Scope 3'!E20</f>
        <v>0</v>
      </c>
      <c r="I45" s="104">
        <f>'Scope 3'!F20</f>
        <v>0.28502</v>
      </c>
      <c r="J45" s="104">
        <f>IF('Scope 3'!G20="Enter Consumption Figure",0,'Scope 3'!G20)</f>
        <v>0</v>
      </c>
    </row>
    <row r="46" spans="1:10" x14ac:dyDescent="0.3">
      <c r="A46" s="104">
        <f>Overview!$C$21</f>
        <v>0</v>
      </c>
      <c r="B46" s="104" t="str">
        <f>Overview!$C$15</f>
        <v>2019-20</v>
      </c>
      <c r="C46" s="104" t="e">
        <f>'Scope guidance'!#REF!</f>
        <v>#REF!</v>
      </c>
      <c r="D46" s="104" t="s">
        <v>41</v>
      </c>
      <c r="E46" s="104" t="s">
        <v>523</v>
      </c>
      <c r="F46" s="104" t="s">
        <v>502</v>
      </c>
      <c r="G46" s="104" t="s">
        <v>25</v>
      </c>
      <c r="H46" s="104">
        <f>'Scope 3'!E21</f>
        <v>0</v>
      </c>
      <c r="I46" s="104">
        <f>'Scope 3'!F21</f>
        <v>0.24736</v>
      </c>
      <c r="J46" s="104">
        <f>IF('Scope 3'!G21="Enter Consumption Figure",0,'Scope 3'!G21)</f>
        <v>0</v>
      </c>
    </row>
    <row r="47" spans="1:10" x14ac:dyDescent="0.3">
      <c r="A47" s="104">
        <f>Overview!$C$21</f>
        <v>0</v>
      </c>
      <c r="B47" s="104" t="str">
        <f>Overview!$C$15</f>
        <v>2019-20</v>
      </c>
      <c r="C47" s="104" t="e">
        <f>'Scope guidance'!#REF!</f>
        <v>#REF!</v>
      </c>
      <c r="D47" s="104" t="s">
        <v>41</v>
      </c>
      <c r="E47" s="104" t="s">
        <v>523</v>
      </c>
      <c r="F47" s="104" t="s">
        <v>506</v>
      </c>
      <c r="G47" s="104" t="s">
        <v>25</v>
      </c>
      <c r="H47" s="104">
        <f>'Scope 3'!E22</f>
        <v>0</v>
      </c>
      <c r="I47" s="104">
        <f>'Scope 3'!F22</f>
        <v>0.30945</v>
      </c>
      <c r="J47" s="104">
        <f>IF('Scope 3'!G22="Enter Consumption Figure",0,'Scope 3'!G22)</f>
        <v>0</v>
      </c>
    </row>
    <row r="48" spans="1:10" x14ac:dyDescent="0.3">
      <c r="A48" s="104">
        <f>Overview!$C$21</f>
        <v>0</v>
      </c>
      <c r="B48" s="104" t="str">
        <f>Overview!$C$15</f>
        <v>2019-20</v>
      </c>
      <c r="C48" s="104" t="e">
        <f>'Scope guidance'!#REF!</f>
        <v>#REF!</v>
      </c>
      <c r="D48" s="104" t="s">
        <v>41</v>
      </c>
      <c r="E48" s="104" t="s">
        <v>523</v>
      </c>
      <c r="F48" s="104" t="s">
        <v>507</v>
      </c>
      <c r="G48" s="104" t="s">
        <v>25</v>
      </c>
      <c r="H48" s="104">
        <f>'Scope 3'!E23</f>
        <v>0</v>
      </c>
      <c r="I48" s="104">
        <f>'Scope 3'!F23</f>
        <v>0.45535999999999999</v>
      </c>
      <c r="J48" s="104">
        <f>IF('Scope 3'!G23="Enter Consumption Figure",0,'Scope 3'!G23)</f>
        <v>0</v>
      </c>
    </row>
    <row r="49" spans="1:10" x14ac:dyDescent="0.3">
      <c r="A49" s="104">
        <f>Overview!$C$21</f>
        <v>0</v>
      </c>
      <c r="B49" s="104" t="str">
        <f>Overview!$C$15</f>
        <v>2019-20</v>
      </c>
      <c r="C49" s="104" t="e">
        <f>'Scope guidance'!#REF!</f>
        <v>#REF!</v>
      </c>
      <c r="D49" s="104" t="s">
        <v>41</v>
      </c>
      <c r="E49" s="104" t="s">
        <v>523</v>
      </c>
      <c r="F49" s="104" t="s">
        <v>564</v>
      </c>
      <c r="G49" s="104" t="s">
        <v>25</v>
      </c>
      <c r="H49" s="104">
        <f>'Scope 3'!E24</f>
        <v>0</v>
      </c>
      <c r="I49" s="104">
        <f>'Scope 3'!F24</f>
        <v>0.22868000000000002</v>
      </c>
      <c r="J49" s="104">
        <f>IF('Scope 3'!G24="Enter Consumption Figure",0,'Scope 3'!G24)</f>
        <v>0</v>
      </c>
    </row>
    <row r="50" spans="1:10" x14ac:dyDescent="0.3">
      <c r="A50" s="104">
        <f>Overview!$C$21</f>
        <v>0</v>
      </c>
      <c r="B50" s="104" t="str">
        <f>Overview!$C$15</f>
        <v>2019-20</v>
      </c>
      <c r="C50" s="104" t="e">
        <f>'Scope guidance'!#REF!</f>
        <v>#REF!</v>
      </c>
      <c r="D50" s="104" t="s">
        <v>41</v>
      </c>
      <c r="E50" s="104" t="s">
        <v>523</v>
      </c>
      <c r="F50" s="104" t="s">
        <v>565</v>
      </c>
      <c r="G50" s="104" t="s">
        <v>25</v>
      </c>
      <c r="H50" s="104">
        <f>'Scope 3'!E25</f>
        <v>0</v>
      </c>
      <c r="I50" s="104">
        <f>'Scope 3'!F25</f>
        <v>0.27459</v>
      </c>
      <c r="J50" s="104">
        <f>IF('Scope 3'!G25="Enter Consumption Figure",0,'Scope 3'!G25)</f>
        <v>0</v>
      </c>
    </row>
    <row r="51" spans="1:10" x14ac:dyDescent="0.3">
      <c r="A51" s="104">
        <f>Overview!$C$21</f>
        <v>0</v>
      </c>
      <c r="B51" s="104" t="str">
        <f>Overview!$C$15</f>
        <v>2019-20</v>
      </c>
      <c r="C51" s="104" t="e">
        <f>'Scope guidance'!#REF!</f>
        <v>#REF!</v>
      </c>
      <c r="D51" s="104" t="s">
        <v>41</v>
      </c>
      <c r="E51" s="104" t="s">
        <v>523</v>
      </c>
      <c r="F51" s="104" t="s">
        <v>504</v>
      </c>
      <c r="G51" s="104" t="s">
        <v>25</v>
      </c>
      <c r="H51" s="104">
        <f>'Scope 3'!E26</f>
        <v>0</v>
      </c>
      <c r="I51" s="104">
        <f>'Scope 3'!F26</f>
        <v>0.33712999999999999</v>
      </c>
      <c r="J51" s="104">
        <f>IF('Scope 3'!G26="Enter Consumption Figure",0,'Scope 3'!G26)</f>
        <v>0</v>
      </c>
    </row>
    <row r="52" spans="1:10" x14ac:dyDescent="0.3">
      <c r="A52" s="104">
        <f>Overview!$C$21</f>
        <v>0</v>
      </c>
      <c r="B52" s="104" t="str">
        <f>Overview!$C$15</f>
        <v>2019-20</v>
      </c>
      <c r="C52" s="104" t="e">
        <f>'Scope guidance'!#REF!</f>
        <v>#REF!</v>
      </c>
      <c r="D52" s="104" t="s">
        <v>41</v>
      </c>
      <c r="E52" s="104" t="s">
        <v>523</v>
      </c>
      <c r="F52" s="104" t="s">
        <v>503</v>
      </c>
      <c r="G52" s="104" t="s">
        <v>25</v>
      </c>
      <c r="H52" s="104">
        <f>'Scope 3'!E27</f>
        <v>0</v>
      </c>
      <c r="I52" s="104">
        <f>'Scope 3'!F27</f>
        <v>0.16930000000000001</v>
      </c>
      <c r="J52" s="104">
        <f>IF('Scope 3'!G27="Enter Consumption Figure",0,'Scope 3'!G27)</f>
        <v>0</v>
      </c>
    </row>
    <row r="53" spans="1:10" x14ac:dyDescent="0.3">
      <c r="A53" s="104">
        <f>Overview!$C$21</f>
        <v>0</v>
      </c>
      <c r="B53" s="104" t="str">
        <f>Overview!$C$15</f>
        <v>2019-20</v>
      </c>
      <c r="C53" s="104" t="e">
        <f>'Scope guidance'!#REF!</f>
        <v>#REF!</v>
      </c>
      <c r="D53" s="104" t="s">
        <v>41</v>
      </c>
      <c r="E53" s="104" t="s">
        <v>523</v>
      </c>
      <c r="F53" s="104" t="s">
        <v>527</v>
      </c>
      <c r="G53" s="104" t="s">
        <v>25</v>
      </c>
      <c r="H53" s="104">
        <f>'Scope 3'!E28</f>
        <v>0</v>
      </c>
      <c r="I53" s="104">
        <f>'Scope 3'!F28</f>
        <v>0.17534</v>
      </c>
      <c r="J53" s="104">
        <f>IF('Scope 3'!G28="Enter Consumption Figure",0,'Scope 3'!G28)</f>
        <v>0</v>
      </c>
    </row>
    <row r="54" spans="1:10" x14ac:dyDescent="0.3">
      <c r="A54" s="104">
        <f>Overview!$C$21</f>
        <v>0</v>
      </c>
      <c r="B54" s="104" t="str">
        <f>Overview!$C$15</f>
        <v>2019-20</v>
      </c>
      <c r="C54" s="104" t="e">
        <f>'Scope guidance'!#REF!</f>
        <v>#REF!</v>
      </c>
      <c r="D54" s="104" t="s">
        <v>41</v>
      </c>
      <c r="E54" s="104" t="s">
        <v>523</v>
      </c>
      <c r="F54" s="104" t="s">
        <v>528</v>
      </c>
      <c r="G54" s="104" t="s">
        <v>25</v>
      </c>
      <c r="H54" s="104">
        <f>'Scope 3'!E29</f>
        <v>0</v>
      </c>
      <c r="I54" s="104">
        <f>'Scope 3'!F29</f>
        <v>0.21207000000000001</v>
      </c>
      <c r="J54" s="104">
        <f>IF('Scope 3'!G29="Enter Consumption Figure",0,'Scope 3'!G29)</f>
        <v>0</v>
      </c>
    </row>
    <row r="55" spans="1:10" x14ac:dyDescent="0.3">
      <c r="A55" s="104">
        <f>Overview!$C$21</f>
        <v>0</v>
      </c>
      <c r="B55" s="104" t="str">
        <f>Overview!$C$15</f>
        <v>2019-20</v>
      </c>
      <c r="C55" s="104" t="e">
        <f>'Scope guidance'!#REF!</f>
        <v>#REF!</v>
      </c>
      <c r="D55" s="104" t="s">
        <v>41</v>
      </c>
      <c r="E55" s="104" t="s">
        <v>523</v>
      </c>
      <c r="F55" s="104" t="s">
        <v>525</v>
      </c>
      <c r="G55" s="104" t="s">
        <v>25</v>
      </c>
      <c r="H55" s="104">
        <f>'Scope 3'!E30</f>
        <v>0</v>
      </c>
      <c r="I55" s="104">
        <f>'Scope 3'!F30</f>
        <v>8.931E-2</v>
      </c>
      <c r="J55" s="104">
        <f>IF('Scope 3'!G30="Enter Consumption Figure",0,'Scope 3'!G30)</f>
        <v>0</v>
      </c>
    </row>
    <row r="56" spans="1:10" x14ac:dyDescent="0.3">
      <c r="A56" s="104">
        <f>Overview!$C$21</f>
        <v>0</v>
      </c>
      <c r="B56" s="104" t="str">
        <f>Overview!$C$15</f>
        <v>2019-20</v>
      </c>
      <c r="C56" s="104" t="e">
        <f>'Scope guidance'!#REF!</f>
        <v>#REF!</v>
      </c>
      <c r="D56" s="104" t="s">
        <v>41</v>
      </c>
      <c r="E56" s="104" t="s">
        <v>23</v>
      </c>
      <c r="F56" s="104" t="s">
        <v>29</v>
      </c>
      <c r="G56" s="104" t="s">
        <v>30</v>
      </c>
      <c r="H56" s="104">
        <f>'Scope 3'!E35</f>
        <v>0</v>
      </c>
      <c r="I56" s="104">
        <f>'Scope 3'!F35</f>
        <v>0.34399999999999997</v>
      </c>
      <c r="J56" s="104">
        <f>IF('Scope 3'!G35="Enter Consumption Figure",0,'Scope 3'!G35)</f>
        <v>0</v>
      </c>
    </row>
    <row r="57" spans="1:10" x14ac:dyDescent="0.3">
      <c r="A57" s="104">
        <f>Overview!$C$21</f>
        <v>0</v>
      </c>
      <c r="B57" s="104" t="str">
        <f>Overview!$C$15</f>
        <v>2019-20</v>
      </c>
      <c r="C57" s="104" t="e">
        <f>'Scope guidance'!#REF!</f>
        <v>#REF!</v>
      </c>
      <c r="D57" s="104" t="s">
        <v>41</v>
      </c>
      <c r="E57" s="104" t="s">
        <v>23</v>
      </c>
      <c r="F57" s="104" t="s">
        <v>31</v>
      </c>
      <c r="G57" s="104" t="s">
        <v>30</v>
      </c>
      <c r="H57" s="104">
        <f>'Scope 3'!E36</f>
        <v>0</v>
      </c>
      <c r="I57" s="104">
        <f>'Scope 3'!F36</f>
        <v>0.70799999999999996</v>
      </c>
      <c r="J57" s="104">
        <f>IF('Scope 3'!G36="Enter Consumption Figure",0,'Scope 3'!G36)</f>
        <v>0</v>
      </c>
    </row>
  </sheetData>
  <phoneticPr fontId="1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ee7b925-ab12-4cbd-ae3d-a6a514fdbeba">4HSTEXEERZ7F-1609982872-612021</_dlc_DocId>
    <_dlc_DocIdUrl xmlns="2ee7b925-ab12-4cbd-ae3d-a6a514fdbeba">
      <Url>https://localpartnershipsllp.sharepoint.com/sites/LocalPartnerships/_layouts/15/DocIdRedir.aspx?ID=4HSTEXEERZ7F-1609982872-612021</Url>
      <Description>4HSTEXEERZ7F-1609982872-612021</Description>
    </_dlc_DocIdUrl>
    <Review_x002f_Reported xmlns="43f143c1-e41c-4cf5-92c2-4128a3ea9f57">1</Review_x002f_Reporte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7E699A7A38D84993EFB5C3C8F9087A" ma:contentTypeVersion="14" ma:contentTypeDescription="Create a new document." ma:contentTypeScope="" ma:versionID="ed05924e4d0406a8ac740640233a689b">
  <xsd:schema xmlns:xsd="http://www.w3.org/2001/XMLSchema" xmlns:xs="http://www.w3.org/2001/XMLSchema" xmlns:p="http://schemas.microsoft.com/office/2006/metadata/properties" xmlns:ns2="2ee7b925-ab12-4cbd-ae3d-a6a514fdbeba" xmlns:ns3="43f143c1-e41c-4cf5-92c2-4128a3ea9f57" targetNamespace="http://schemas.microsoft.com/office/2006/metadata/properties" ma:root="true" ma:fieldsID="ad9af3bacc1e6b95539a839e62f16466" ns2:_="" ns3:_="">
    <xsd:import namespace="2ee7b925-ab12-4cbd-ae3d-a6a514fdbeba"/>
    <xsd:import namespace="43f143c1-e41c-4cf5-92c2-4128a3ea9f5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Location" minOccurs="0"/>
                <xsd:element ref="ns3:MediaLengthInSeconds" minOccurs="0"/>
                <xsd:element ref="ns3:Review_x002f_Repor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7b925-ab12-4cbd-ae3d-a6a514fdbeb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f143c1-e41c-4cf5-92c2-4128a3ea9f5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Review_x002f_Reported" ma:index="24" nillable="true" ma:displayName="Review / Reported" ma:default="1" ma:format="Dropdown" ma:internalName="Review_x002f_Repor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37A5E2-7D75-4DEF-A762-6D9632DC2DCE}">
  <ds:schemaRefs>
    <ds:schemaRef ds:uri="2ee7b925-ab12-4cbd-ae3d-a6a514fdbeba"/>
    <ds:schemaRef ds:uri="http://purl.org/dc/terms/"/>
    <ds:schemaRef ds:uri="http://purl.org/dc/dcmitype/"/>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3f143c1-e41c-4cf5-92c2-4128a3ea9f57"/>
    <ds:schemaRef ds:uri="http://www.w3.org/XML/1998/namespace"/>
  </ds:schemaRefs>
</ds:datastoreItem>
</file>

<file path=customXml/itemProps2.xml><?xml version="1.0" encoding="utf-8"?>
<ds:datastoreItem xmlns:ds="http://schemas.openxmlformats.org/officeDocument/2006/customXml" ds:itemID="{F3BE3E3B-FABB-47DD-B431-FFCCF0ADA5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7b925-ab12-4cbd-ae3d-a6a514fdbeba"/>
    <ds:schemaRef ds:uri="43f143c1-e41c-4cf5-92c2-4128a3ea9f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20E430-68FF-43F3-BC54-C523AAC6325A}">
  <ds:schemaRefs>
    <ds:schemaRef ds:uri="http://schemas.microsoft.com/sharepoint/events"/>
  </ds:schemaRefs>
</ds:datastoreItem>
</file>

<file path=customXml/itemProps4.xml><?xml version="1.0" encoding="utf-8"?>
<ds:datastoreItem xmlns:ds="http://schemas.openxmlformats.org/officeDocument/2006/customXml" ds:itemID="{E507A5DD-6439-4398-82F7-4D231C1A8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Overview</vt:lpstr>
      <vt:lpstr>Scope guidance</vt:lpstr>
      <vt:lpstr>Scope 1</vt:lpstr>
      <vt:lpstr>Scope 2</vt:lpstr>
      <vt:lpstr>Scope 3</vt:lpstr>
      <vt:lpstr>Summary tables</vt:lpstr>
      <vt:lpstr>Summary charts</vt:lpstr>
      <vt:lpstr>Data Collection Tab - Overview</vt:lpstr>
      <vt:lpstr>Data Collection Tab - Emissions</vt:lpstr>
      <vt:lpstr>GHG Emission Factors</vt:lpstr>
      <vt:lpstr>List Tab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Nafi Ahmed</dc:creator>
  <cp:lastModifiedBy>Gary Richards</cp:lastModifiedBy>
  <cp:lastPrinted>2021-05-05T09:12:43Z</cp:lastPrinted>
  <dcterms:created xsi:type="dcterms:W3CDTF">2020-06-05T10:55:54Z</dcterms:created>
  <dcterms:modified xsi:type="dcterms:W3CDTF">2022-04-22T12:53:12Z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0x0101002A7E699A7A38D84993EFB5C3C8F9087A</vt:lpwstr>
  </property>
  <property fmtid="{D5CDD505-2E9C-101B-9397-08002B2CF9AE}" pid="3" name="Order">
    <vt:r8>608000</vt:r8>
  </property>
  <property fmtid="{D5CDD505-2E9C-101B-9397-08002B2CF9AE}" pid="4" name="_dlc_DocIdItemGuid">
    <vt:lpwstr>1a4eed7b-86f7-4dd9-8d0a-903e84f6b05a</vt:lpwstr>
  </property>
</Properties>
</file>